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8195" windowHeight="13860"/>
  </bookViews>
  <sheets>
    <sheet name="Аркуш1" sheetId="1" r:id="rId1"/>
  </sheets>
  <definedNames>
    <definedName name="_xlnm.Print_Area" localSheetId="0">Аркуш1!$A$966:$P$1051</definedName>
  </definedNames>
  <calcPr calcId="125725"/>
</workbook>
</file>

<file path=xl/calcChain.xml><?xml version="1.0" encoding="utf-8"?>
<calcChain xmlns="http://schemas.openxmlformats.org/spreadsheetml/2006/main">
  <c r="O979" i="1"/>
  <c r="O980" s="1"/>
  <c r="K979"/>
  <c r="J979"/>
  <c r="L1032"/>
  <c r="J1032"/>
  <c r="P1028"/>
  <c r="O1019"/>
  <c r="K1019"/>
  <c r="J1019"/>
  <c r="P1019" s="1"/>
  <c r="P1018"/>
  <c r="J1016"/>
  <c r="P1016" s="1"/>
  <c r="E1016"/>
  <c r="F1016"/>
  <c r="O1016"/>
  <c r="K1016"/>
  <c r="E1008"/>
  <c r="F1008"/>
  <c r="E1000"/>
  <c r="P1000" s="1"/>
  <c r="F1000"/>
  <c r="P999"/>
  <c r="E981"/>
  <c r="H981"/>
  <c r="F981"/>
  <c r="P1047"/>
  <c r="P1046"/>
  <c r="P1045"/>
  <c r="P1044"/>
  <c r="P1043"/>
  <c r="P1042"/>
  <c r="P1041"/>
  <c r="O1040"/>
  <c r="N1040"/>
  <c r="M1040"/>
  <c r="L1040"/>
  <c r="K1040"/>
  <c r="K1039" s="1"/>
  <c r="J1040"/>
  <c r="I1040"/>
  <c r="H1040"/>
  <c r="H1039" s="1"/>
  <c r="G1040"/>
  <c r="G1039" s="1"/>
  <c r="F1040"/>
  <c r="E1040" s="1"/>
  <c r="O1039"/>
  <c r="N1039"/>
  <c r="M1039"/>
  <c r="L1039"/>
  <c r="J1039"/>
  <c r="I1039"/>
  <c r="P1038"/>
  <c r="P1037"/>
  <c r="P1036"/>
  <c r="P1035"/>
  <c r="P1034"/>
  <c r="P1033"/>
  <c r="P1032"/>
  <c r="P1031"/>
  <c r="P1030"/>
  <c r="P1029"/>
  <c r="P1026"/>
  <c r="P1025"/>
  <c r="P1024"/>
  <c r="P1023"/>
  <c r="P1022"/>
  <c r="P1021"/>
  <c r="P1020"/>
  <c r="P1017"/>
  <c r="P1015"/>
  <c r="P1014"/>
  <c r="P1013"/>
  <c r="P1012"/>
  <c r="P1011"/>
  <c r="P1010"/>
  <c r="P1009"/>
  <c r="P1008"/>
  <c r="P1007"/>
  <c r="P1006"/>
  <c r="P1005"/>
  <c r="P1004"/>
  <c r="P1003"/>
  <c r="P1002"/>
  <c r="P1001"/>
  <c r="P998"/>
  <c r="P997"/>
  <c r="P996"/>
  <c r="P995"/>
  <c r="P994"/>
  <c r="P993"/>
  <c r="P992"/>
  <c r="P991"/>
  <c r="P990"/>
  <c r="P989"/>
  <c r="E988"/>
  <c r="P988" s="1"/>
  <c r="E987"/>
  <c r="P987" s="1"/>
  <c r="P986"/>
  <c r="P985"/>
  <c r="P984"/>
  <c r="P983"/>
  <c r="P982"/>
  <c r="P981"/>
  <c r="N979"/>
  <c r="N980" s="1"/>
  <c r="M979"/>
  <c r="M1048" s="1"/>
  <c r="L979"/>
  <c r="L980" s="1"/>
  <c r="I979"/>
  <c r="I1048" s="1"/>
  <c r="H979"/>
  <c r="H980" s="1"/>
  <c r="G979"/>
  <c r="E896"/>
  <c r="F896"/>
  <c r="F953"/>
  <c r="E953" s="1"/>
  <c r="P960"/>
  <c r="P959"/>
  <c r="P958"/>
  <c r="P957"/>
  <c r="P956"/>
  <c r="P955"/>
  <c r="P954"/>
  <c r="O953"/>
  <c r="O952" s="1"/>
  <c r="N953"/>
  <c r="M953"/>
  <c r="L953"/>
  <c r="L952" s="1"/>
  <c r="K953"/>
  <c r="K952" s="1"/>
  <c r="J953"/>
  <c r="J952" s="1"/>
  <c r="I953"/>
  <c r="H953"/>
  <c r="H952" s="1"/>
  <c r="G953"/>
  <c r="G952" s="1"/>
  <c r="N952"/>
  <c r="M952"/>
  <c r="I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E905"/>
  <c r="P905" s="1"/>
  <c r="E904"/>
  <c r="P904" s="1"/>
  <c r="P903"/>
  <c r="P902"/>
  <c r="P901"/>
  <c r="P900"/>
  <c r="P899"/>
  <c r="P898"/>
  <c r="O896"/>
  <c r="N896"/>
  <c r="N961" s="1"/>
  <c r="M896"/>
  <c r="M961" s="1"/>
  <c r="L896"/>
  <c r="K896"/>
  <c r="J896"/>
  <c r="I896"/>
  <c r="H896"/>
  <c r="G896"/>
  <c r="I961" l="1"/>
  <c r="F1039"/>
  <c r="G1048"/>
  <c r="P1040"/>
  <c r="E1039"/>
  <c r="P1039" s="1"/>
  <c r="N1048"/>
  <c r="L1048"/>
  <c r="K1048"/>
  <c r="J980"/>
  <c r="F979"/>
  <c r="F1048" s="1"/>
  <c r="E979"/>
  <c r="E1048" s="1"/>
  <c r="P979"/>
  <c r="P980" s="1"/>
  <c r="H1048"/>
  <c r="G980"/>
  <c r="O1048"/>
  <c r="I980"/>
  <c r="M980"/>
  <c r="J961"/>
  <c r="F952"/>
  <c r="F961" s="1"/>
  <c r="G961"/>
  <c r="H961"/>
  <c r="O961"/>
  <c r="L961"/>
  <c r="K961"/>
  <c r="P896"/>
  <c r="P897" s="1"/>
  <c r="E952"/>
  <c r="P952" s="1"/>
  <c r="P953"/>
  <c r="H897"/>
  <c r="L897"/>
  <c r="G897"/>
  <c r="K897"/>
  <c r="O897"/>
  <c r="F897"/>
  <c r="J897"/>
  <c r="N897"/>
  <c r="E897"/>
  <c r="I897"/>
  <c r="M897"/>
  <c r="K980" l="1"/>
  <c r="J1048"/>
  <c r="P1048" s="1"/>
  <c r="E980"/>
  <c r="F980"/>
  <c r="E961"/>
  <c r="P961" s="1"/>
  <c r="O853" l="1"/>
  <c r="N853"/>
  <c r="N839"/>
  <c r="O839"/>
  <c r="O840"/>
  <c r="N840"/>
  <c r="P878"/>
  <c r="P877"/>
  <c r="O876"/>
  <c r="O871" s="1"/>
  <c r="O870" s="1"/>
  <c r="N876"/>
  <c r="M876"/>
  <c r="M871" s="1"/>
  <c r="M870" s="1"/>
  <c r="L876"/>
  <c r="L871" s="1"/>
  <c r="L870" s="1"/>
  <c r="K876"/>
  <c r="K871" s="1"/>
  <c r="J876"/>
  <c r="I876"/>
  <c r="I871" s="1"/>
  <c r="I870" s="1"/>
  <c r="H876"/>
  <c r="H871" s="1"/>
  <c r="H870" s="1"/>
  <c r="G876"/>
  <c r="G871" s="1"/>
  <c r="G870" s="1"/>
  <c r="F876"/>
  <c r="E876"/>
  <c r="P876" s="1"/>
  <c r="P875"/>
  <c r="P874"/>
  <c r="E874"/>
  <c r="P873"/>
  <c r="P872"/>
  <c r="N871"/>
  <c r="N870" s="1"/>
  <c r="F871"/>
  <c r="P869"/>
  <c r="P868"/>
  <c r="P867"/>
  <c r="P866"/>
  <c r="P865"/>
  <c r="P864"/>
  <c r="P863"/>
  <c r="P862"/>
  <c r="K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E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E826"/>
  <c r="P826" s="1"/>
  <c r="P825"/>
  <c r="E825"/>
  <c r="P824"/>
  <c r="P823"/>
  <c r="P822"/>
  <c r="P821"/>
  <c r="P820"/>
  <c r="P819"/>
  <c r="O817"/>
  <c r="O818" s="1"/>
  <c r="N817"/>
  <c r="N818" s="1"/>
  <c r="M817"/>
  <c r="L817"/>
  <c r="K817"/>
  <c r="K818" s="1"/>
  <c r="J817"/>
  <c r="J818" s="1"/>
  <c r="I817"/>
  <c r="H817"/>
  <c r="G817"/>
  <c r="G818" s="1"/>
  <c r="F817"/>
  <c r="F818" s="1"/>
  <c r="E817"/>
  <c r="E737"/>
  <c r="E738" s="1"/>
  <c r="J737"/>
  <c r="O737"/>
  <c r="N737"/>
  <c r="N738" s="1"/>
  <c r="I791"/>
  <c r="F791"/>
  <c r="E791" s="1"/>
  <c r="P795"/>
  <c r="P787"/>
  <c r="P752"/>
  <c r="P751"/>
  <c r="P750"/>
  <c r="P798"/>
  <c r="P797"/>
  <c r="P796"/>
  <c r="O796"/>
  <c r="N796"/>
  <c r="M796"/>
  <c r="M791" s="1"/>
  <c r="M790" s="1"/>
  <c r="L796"/>
  <c r="L791" s="1"/>
  <c r="L790" s="1"/>
  <c r="L799" s="1"/>
  <c r="K796"/>
  <c r="J796"/>
  <c r="I796"/>
  <c r="H796"/>
  <c r="H791" s="1"/>
  <c r="H790" s="1"/>
  <c r="H799" s="1"/>
  <c r="G796"/>
  <c r="G791" s="1"/>
  <c r="G790" s="1"/>
  <c r="F796"/>
  <c r="E796"/>
  <c r="P794"/>
  <c r="E794"/>
  <c r="P793"/>
  <c r="P792"/>
  <c r="O791"/>
  <c r="O790" s="1"/>
  <c r="N791"/>
  <c r="K791"/>
  <c r="J791" s="1"/>
  <c r="J790" s="1"/>
  <c r="N790"/>
  <c r="K790"/>
  <c r="I790"/>
  <c r="I799" s="1"/>
  <c r="P789"/>
  <c r="P788"/>
  <c r="P786"/>
  <c r="P785"/>
  <c r="P784"/>
  <c r="P783"/>
  <c r="P782"/>
  <c r="K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E764"/>
  <c r="P763"/>
  <c r="P762"/>
  <c r="P761"/>
  <c r="P760"/>
  <c r="P759"/>
  <c r="P758"/>
  <c r="P757"/>
  <c r="P756"/>
  <c r="P755"/>
  <c r="P754"/>
  <c r="P753"/>
  <c r="P749"/>
  <c r="P748"/>
  <c r="P747"/>
  <c r="P746"/>
  <c r="E746"/>
  <c r="E745"/>
  <c r="P745" s="1"/>
  <c r="P744"/>
  <c r="P743"/>
  <c r="P742"/>
  <c r="P741"/>
  <c r="P740"/>
  <c r="P739"/>
  <c r="P737" s="1"/>
  <c r="M737"/>
  <c r="M738" s="1"/>
  <c r="L737"/>
  <c r="L738" s="1"/>
  <c r="K737"/>
  <c r="K799" s="1"/>
  <c r="J738"/>
  <c r="I737"/>
  <c r="I738" s="1"/>
  <c r="H737"/>
  <c r="H738" s="1"/>
  <c r="G737"/>
  <c r="F737"/>
  <c r="F738" s="1"/>
  <c r="P683"/>
  <c r="O663"/>
  <c r="N663"/>
  <c r="M663"/>
  <c r="M664" s="1"/>
  <c r="L663"/>
  <c r="K663"/>
  <c r="J663"/>
  <c r="I663"/>
  <c r="H663"/>
  <c r="H664" s="1"/>
  <c r="G663"/>
  <c r="F663"/>
  <c r="E663"/>
  <c r="P682"/>
  <c r="P719"/>
  <c r="P718"/>
  <c r="O717"/>
  <c r="O713" s="1"/>
  <c r="O712" s="1"/>
  <c r="N717"/>
  <c r="M717"/>
  <c r="M713" s="1"/>
  <c r="M712" s="1"/>
  <c r="L717"/>
  <c r="L713" s="1"/>
  <c r="L712" s="1"/>
  <c r="K717"/>
  <c r="J717"/>
  <c r="I717"/>
  <c r="I713" s="1"/>
  <c r="I712" s="1"/>
  <c r="H717"/>
  <c r="H713" s="1"/>
  <c r="H712" s="1"/>
  <c r="G717"/>
  <c r="G713" s="1"/>
  <c r="G712" s="1"/>
  <c r="F717"/>
  <c r="E717"/>
  <c r="E716"/>
  <c r="P716" s="1"/>
  <c r="P715"/>
  <c r="P714"/>
  <c r="N713"/>
  <c r="N712" s="1"/>
  <c r="K713"/>
  <c r="K712" s="1"/>
  <c r="F713"/>
  <c r="P711"/>
  <c r="P710"/>
  <c r="P709"/>
  <c r="P708"/>
  <c r="P707"/>
  <c r="P706"/>
  <c r="P705"/>
  <c r="K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E687"/>
  <c r="P687" s="1"/>
  <c r="P686"/>
  <c r="P685"/>
  <c r="P684"/>
  <c r="P681"/>
  <c r="P680"/>
  <c r="P679"/>
  <c r="P678"/>
  <c r="P677"/>
  <c r="P676"/>
  <c r="P675"/>
  <c r="P674"/>
  <c r="P673"/>
  <c r="E672"/>
  <c r="P672" s="1"/>
  <c r="E671"/>
  <c r="P671" s="1"/>
  <c r="P670"/>
  <c r="P669"/>
  <c r="P668"/>
  <c r="P667"/>
  <c r="P666"/>
  <c r="P665"/>
  <c r="P663" s="1"/>
  <c r="L664"/>
  <c r="I664"/>
  <c r="E664"/>
  <c r="K631"/>
  <c r="O639"/>
  <c r="O638" s="1"/>
  <c r="N639"/>
  <c r="N638" s="1"/>
  <c r="N646" s="1"/>
  <c r="K639"/>
  <c r="J639" s="1"/>
  <c r="J638" s="1"/>
  <c r="I639"/>
  <c r="I638" s="1"/>
  <c r="F639"/>
  <c r="O643"/>
  <c r="N643"/>
  <c r="M643"/>
  <c r="M639" s="1"/>
  <c r="M638" s="1"/>
  <c r="M646" s="1"/>
  <c r="L643"/>
  <c r="L639" s="1"/>
  <c r="L638" s="1"/>
  <c r="K643"/>
  <c r="J643"/>
  <c r="I643"/>
  <c r="H643"/>
  <c r="H639" s="1"/>
  <c r="H638" s="1"/>
  <c r="G643"/>
  <c r="G639" s="1"/>
  <c r="G638" s="1"/>
  <c r="G646" s="1"/>
  <c r="F643"/>
  <c r="E643"/>
  <c r="P644"/>
  <c r="E642"/>
  <c r="P642" s="1"/>
  <c r="P645"/>
  <c r="P643"/>
  <c r="P641"/>
  <c r="P640"/>
  <c r="E591"/>
  <c r="I591"/>
  <c r="I646" s="1"/>
  <c r="H591"/>
  <c r="H592" s="1"/>
  <c r="F591"/>
  <c r="G591"/>
  <c r="P594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E613"/>
  <c r="P613" s="1"/>
  <c r="P612"/>
  <c r="P611"/>
  <c r="P610"/>
  <c r="P609"/>
  <c r="P608"/>
  <c r="P607"/>
  <c r="P606"/>
  <c r="P605"/>
  <c r="P604"/>
  <c r="P603"/>
  <c r="P602"/>
  <c r="P601"/>
  <c r="E600"/>
  <c r="P600" s="1"/>
  <c r="E599"/>
  <c r="P599" s="1"/>
  <c r="P598"/>
  <c r="P597"/>
  <c r="P596"/>
  <c r="P595"/>
  <c r="P593"/>
  <c r="O591"/>
  <c r="O592" s="1"/>
  <c r="N591"/>
  <c r="M591"/>
  <c r="L591"/>
  <c r="L592" s="1"/>
  <c r="K591"/>
  <c r="K592" s="1"/>
  <c r="J591"/>
  <c r="J592" s="1"/>
  <c r="G592"/>
  <c r="O527"/>
  <c r="O573" s="1"/>
  <c r="N527"/>
  <c r="N573" s="1"/>
  <c r="M527"/>
  <c r="M573" s="1"/>
  <c r="L527"/>
  <c r="L573" s="1"/>
  <c r="K527"/>
  <c r="K573" s="1"/>
  <c r="J527"/>
  <c r="J573" s="1"/>
  <c r="I527"/>
  <c r="I573" s="1"/>
  <c r="H527"/>
  <c r="H573" s="1"/>
  <c r="G527"/>
  <c r="G573" s="1"/>
  <c r="F527"/>
  <c r="F573" s="1"/>
  <c r="E527"/>
  <c r="E573" s="1"/>
  <c r="P569"/>
  <c r="P562"/>
  <c r="P561"/>
  <c r="P553"/>
  <c r="P551"/>
  <c r="E548"/>
  <c r="P548" s="1"/>
  <c r="E535"/>
  <c r="P535" s="1"/>
  <c r="F458"/>
  <c r="E534"/>
  <c r="P534" s="1"/>
  <c r="P572"/>
  <c r="P571"/>
  <c r="P570"/>
  <c r="P568"/>
  <c r="P567"/>
  <c r="P566"/>
  <c r="P565"/>
  <c r="P564"/>
  <c r="P563"/>
  <c r="P560"/>
  <c r="P559"/>
  <c r="P558"/>
  <c r="P557"/>
  <c r="P556"/>
  <c r="P555"/>
  <c r="P554"/>
  <c r="P552"/>
  <c r="P550"/>
  <c r="P549"/>
  <c r="P547"/>
  <c r="P546"/>
  <c r="P545"/>
  <c r="P544"/>
  <c r="P543"/>
  <c r="P542"/>
  <c r="P541"/>
  <c r="P540"/>
  <c r="P539"/>
  <c r="P538"/>
  <c r="P537"/>
  <c r="P536"/>
  <c r="P533"/>
  <c r="P532"/>
  <c r="P531"/>
  <c r="P530"/>
  <c r="P529"/>
  <c r="O457"/>
  <c r="N457"/>
  <c r="O467"/>
  <c r="N467"/>
  <c r="F457"/>
  <c r="F500"/>
  <c r="F483"/>
  <c r="K504"/>
  <c r="O480"/>
  <c r="N480"/>
  <c r="J480" s="1"/>
  <c r="F489"/>
  <c r="O483"/>
  <c r="O482" s="1"/>
  <c r="N483"/>
  <c r="J483" s="1"/>
  <c r="J482" s="1"/>
  <c r="O478"/>
  <c r="N478"/>
  <c r="J478" s="1"/>
  <c r="F478"/>
  <c r="F464"/>
  <c r="E464" s="1"/>
  <c r="P464" s="1"/>
  <c r="O458"/>
  <c r="O456" s="1"/>
  <c r="N458"/>
  <c r="N456" s="1"/>
  <c r="G458"/>
  <c r="F456"/>
  <c r="F455"/>
  <c r="G455"/>
  <c r="J509"/>
  <c r="J508" s="1"/>
  <c r="E509"/>
  <c r="E508" s="1"/>
  <c r="O508"/>
  <c r="N508"/>
  <c r="M508"/>
  <c r="L508"/>
  <c r="K508"/>
  <c r="I508"/>
  <c r="H508"/>
  <c r="G508"/>
  <c r="F508"/>
  <c r="J507"/>
  <c r="E507"/>
  <c r="P507" s="1"/>
  <c r="J504"/>
  <c r="P504" s="1"/>
  <c r="O503"/>
  <c r="N503"/>
  <c r="M503"/>
  <c r="L503"/>
  <c r="K503"/>
  <c r="I503"/>
  <c r="H503"/>
  <c r="G503"/>
  <c r="F503"/>
  <c r="J502"/>
  <c r="E502"/>
  <c r="E501"/>
  <c r="P501" s="1"/>
  <c r="J500"/>
  <c r="E500"/>
  <c r="J499"/>
  <c r="E499"/>
  <c r="P499" s="1"/>
  <c r="J498"/>
  <c r="E498"/>
  <c r="J497"/>
  <c r="P497" s="1"/>
  <c r="O496"/>
  <c r="N496"/>
  <c r="M496"/>
  <c r="L496"/>
  <c r="K496"/>
  <c r="I496"/>
  <c r="H496"/>
  <c r="G496"/>
  <c r="F496"/>
  <c r="E496"/>
  <c r="J495"/>
  <c r="E495"/>
  <c r="K494"/>
  <c r="E494"/>
  <c r="J493"/>
  <c r="E493"/>
  <c r="J492"/>
  <c r="E492"/>
  <c r="J491"/>
  <c r="E491"/>
  <c r="O490"/>
  <c r="N490"/>
  <c r="M490"/>
  <c r="L490"/>
  <c r="K490"/>
  <c r="J490"/>
  <c r="I490"/>
  <c r="H490"/>
  <c r="G490"/>
  <c r="F490"/>
  <c r="E490"/>
  <c r="J489"/>
  <c r="E489"/>
  <c r="P489" s="1"/>
  <c r="O488"/>
  <c r="N488"/>
  <c r="M488"/>
  <c r="L488"/>
  <c r="K488"/>
  <c r="J488"/>
  <c r="I488"/>
  <c r="H488"/>
  <c r="G488"/>
  <c r="F488"/>
  <c r="J487"/>
  <c r="E487"/>
  <c r="P487" s="1"/>
  <c r="J486"/>
  <c r="E486"/>
  <c r="O485"/>
  <c r="N485"/>
  <c r="M485"/>
  <c r="L485"/>
  <c r="K485"/>
  <c r="J485"/>
  <c r="I485"/>
  <c r="H485"/>
  <c r="G485"/>
  <c r="F485"/>
  <c r="E485"/>
  <c r="J484"/>
  <c r="E484"/>
  <c r="P484" s="1"/>
  <c r="E483"/>
  <c r="M482"/>
  <c r="L482"/>
  <c r="K482"/>
  <c r="I482"/>
  <c r="H482"/>
  <c r="G482"/>
  <c r="F482"/>
  <c r="J481"/>
  <c r="P481" s="1"/>
  <c r="E480"/>
  <c r="E479" s="1"/>
  <c r="O479"/>
  <c r="M479"/>
  <c r="L479"/>
  <c r="K479"/>
  <c r="I479"/>
  <c r="H479"/>
  <c r="G479"/>
  <c r="F479"/>
  <c r="E478"/>
  <c r="J477"/>
  <c r="E477"/>
  <c r="J476"/>
  <c r="E476"/>
  <c r="J475"/>
  <c r="E475"/>
  <c r="J474"/>
  <c r="E474"/>
  <c r="P474" s="1"/>
  <c r="O473"/>
  <c r="N473"/>
  <c r="M473"/>
  <c r="L473"/>
  <c r="K473"/>
  <c r="I473"/>
  <c r="H473"/>
  <c r="G473"/>
  <c r="F473"/>
  <c r="J472"/>
  <c r="E472"/>
  <c r="J471"/>
  <c r="J470" s="1"/>
  <c r="E471"/>
  <c r="E470" s="1"/>
  <c r="O470"/>
  <c r="N470"/>
  <c r="M470"/>
  <c r="L470"/>
  <c r="K470"/>
  <c r="I470"/>
  <c r="H470"/>
  <c r="G470"/>
  <c r="F470"/>
  <c r="J469"/>
  <c r="E469"/>
  <c r="J468"/>
  <c r="E468"/>
  <c r="J467"/>
  <c r="E467"/>
  <c r="J466"/>
  <c r="P466" s="1"/>
  <c r="E466"/>
  <c r="O465"/>
  <c r="N465"/>
  <c r="M465"/>
  <c r="L465"/>
  <c r="K465"/>
  <c r="I465"/>
  <c r="H465"/>
  <c r="G465"/>
  <c r="F465"/>
  <c r="J463"/>
  <c r="J462" s="1"/>
  <c r="E463"/>
  <c r="O462"/>
  <c r="N462"/>
  <c r="M462"/>
  <c r="L462"/>
  <c r="K462"/>
  <c r="I462"/>
  <c r="H462"/>
  <c r="G462"/>
  <c r="F462"/>
  <c r="J461"/>
  <c r="E461"/>
  <c r="J460"/>
  <c r="E460"/>
  <c r="J459"/>
  <c r="E459"/>
  <c r="J458"/>
  <c r="E458"/>
  <c r="J457"/>
  <c r="E457"/>
  <c r="E456" s="1"/>
  <c r="M456"/>
  <c r="L456"/>
  <c r="K456"/>
  <c r="I456"/>
  <c r="H456"/>
  <c r="G456"/>
  <c r="J455"/>
  <c r="J454" s="1"/>
  <c r="E455"/>
  <c r="E454" s="1"/>
  <c r="O454"/>
  <c r="N454"/>
  <c r="M454"/>
  <c r="L454"/>
  <c r="K454"/>
  <c r="I454"/>
  <c r="H454"/>
  <c r="G454"/>
  <c r="F454"/>
  <c r="K420"/>
  <c r="K638" l="1"/>
  <c r="H646"/>
  <c r="P463"/>
  <c r="P475"/>
  <c r="P485"/>
  <c r="P498"/>
  <c r="P472"/>
  <c r="E488"/>
  <c r="P493"/>
  <c r="P495"/>
  <c r="E639"/>
  <c r="E638" s="1"/>
  <c r="E646" s="1"/>
  <c r="L646"/>
  <c r="E871"/>
  <c r="P470"/>
  <c r="F638"/>
  <c r="F646" s="1"/>
  <c r="P477"/>
  <c r="P490"/>
  <c r="G879"/>
  <c r="M453"/>
  <c r="M510" s="1"/>
  <c r="P461"/>
  <c r="P467"/>
  <c r="P492"/>
  <c r="E503"/>
  <c r="P527"/>
  <c r="O646"/>
  <c r="O879"/>
  <c r="N879"/>
  <c r="P817"/>
  <c r="P818" s="1"/>
  <c r="E870"/>
  <c r="E879" s="1"/>
  <c r="J871"/>
  <c r="J870" s="1"/>
  <c r="J879" s="1"/>
  <c r="K870"/>
  <c r="K879" s="1"/>
  <c r="I879"/>
  <c r="M879"/>
  <c r="H879"/>
  <c r="L879"/>
  <c r="E818"/>
  <c r="M818"/>
  <c r="F870"/>
  <c r="F879" s="1"/>
  <c r="H818"/>
  <c r="L818"/>
  <c r="I818"/>
  <c r="G799"/>
  <c r="O799"/>
  <c r="F790"/>
  <c r="F799" s="1"/>
  <c r="P738"/>
  <c r="M799"/>
  <c r="J799"/>
  <c r="N799"/>
  <c r="E790"/>
  <c r="P791"/>
  <c r="K738"/>
  <c r="G738"/>
  <c r="O738"/>
  <c r="M720"/>
  <c r="I720"/>
  <c r="P717"/>
  <c r="E713"/>
  <c r="E712" s="1"/>
  <c r="O720"/>
  <c r="N720"/>
  <c r="K720"/>
  <c r="J720"/>
  <c r="J713"/>
  <c r="J712" s="1"/>
  <c r="G720"/>
  <c r="F712"/>
  <c r="F720" s="1"/>
  <c r="P664"/>
  <c r="G664"/>
  <c r="K664"/>
  <c r="O664"/>
  <c r="H720"/>
  <c r="L720"/>
  <c r="F664"/>
  <c r="J664"/>
  <c r="N664"/>
  <c r="J646"/>
  <c r="K646"/>
  <c r="P638"/>
  <c r="P591"/>
  <c r="F592"/>
  <c r="N592"/>
  <c r="E592"/>
  <c r="I592"/>
  <c r="M592"/>
  <c r="P573"/>
  <c r="P528"/>
  <c r="P500"/>
  <c r="P502"/>
  <c r="J479"/>
  <c r="E528"/>
  <c r="G528"/>
  <c r="I528"/>
  <c r="K528"/>
  <c r="M528"/>
  <c r="O528"/>
  <c r="P454"/>
  <c r="I453"/>
  <c r="I510" s="1"/>
  <c r="P455"/>
  <c r="P459"/>
  <c r="P460"/>
  <c r="P468"/>
  <c r="P469"/>
  <c r="P471"/>
  <c r="P486"/>
  <c r="P488"/>
  <c r="P491"/>
  <c r="P508"/>
  <c r="F528"/>
  <c r="H528"/>
  <c r="J528"/>
  <c r="L528"/>
  <c r="N528"/>
  <c r="J456"/>
  <c r="P456" s="1"/>
  <c r="P457"/>
  <c r="H453"/>
  <c r="H510" s="1"/>
  <c r="L453"/>
  <c r="L510" s="1"/>
  <c r="K453"/>
  <c r="K510" s="1"/>
  <c r="P509"/>
  <c r="P480"/>
  <c r="N479"/>
  <c r="P479"/>
  <c r="P483"/>
  <c r="N482"/>
  <c r="E482"/>
  <c r="P482" s="1"/>
  <c r="P478"/>
  <c r="O453"/>
  <c r="O510" s="1"/>
  <c r="P476"/>
  <c r="E473"/>
  <c r="J465"/>
  <c r="F453"/>
  <c r="F510" s="1"/>
  <c r="P458"/>
  <c r="G453"/>
  <c r="G510" s="1"/>
  <c r="E465"/>
  <c r="E462"/>
  <c r="J473"/>
  <c r="J494"/>
  <c r="P494" s="1"/>
  <c r="J496"/>
  <c r="P496" s="1"/>
  <c r="J503"/>
  <c r="E433"/>
  <c r="P639" l="1"/>
  <c r="P503"/>
  <c r="P646"/>
  <c r="P871"/>
  <c r="P870"/>
  <c r="P879"/>
  <c r="E799"/>
  <c r="P799" s="1"/>
  <c r="P790"/>
  <c r="P713"/>
  <c r="E720"/>
  <c r="P720" s="1"/>
  <c r="P712"/>
  <c r="P592"/>
  <c r="N453"/>
  <c r="N510" s="1"/>
  <c r="P465"/>
  <c r="P462"/>
  <c r="E453"/>
  <c r="P473"/>
  <c r="J453"/>
  <c r="J510" s="1"/>
  <c r="O391"/>
  <c r="N391"/>
  <c r="M391"/>
  <c r="L391"/>
  <c r="K391"/>
  <c r="I391"/>
  <c r="H391"/>
  <c r="G391"/>
  <c r="F391"/>
  <c r="J394"/>
  <c r="E394"/>
  <c r="J395"/>
  <c r="E395"/>
  <c r="J385"/>
  <c r="J386"/>
  <c r="E385"/>
  <c r="E386"/>
  <c r="P386" s="1"/>
  <c r="O382"/>
  <c r="N382"/>
  <c r="M382"/>
  <c r="L382"/>
  <c r="K382"/>
  <c r="I382"/>
  <c r="H382"/>
  <c r="G382"/>
  <c r="F382"/>
  <c r="J383"/>
  <c r="E383"/>
  <c r="I422"/>
  <c r="H422"/>
  <c r="G422"/>
  <c r="F422"/>
  <c r="E425"/>
  <c r="J423"/>
  <c r="J424"/>
  <c r="J425"/>
  <c r="E424"/>
  <c r="J401"/>
  <c r="E401"/>
  <c r="P385" l="1"/>
  <c r="P453"/>
  <c r="E510"/>
  <c r="P510" s="1"/>
  <c r="P424"/>
  <c r="P425"/>
  <c r="P401"/>
  <c r="P394"/>
  <c r="P395"/>
  <c r="P383"/>
  <c r="F399"/>
  <c r="G399"/>
  <c r="H399"/>
  <c r="I399"/>
  <c r="J400"/>
  <c r="E400"/>
  <c r="E398"/>
  <c r="O434"/>
  <c r="N434"/>
  <c r="E435"/>
  <c r="J381"/>
  <c r="J380" s="1"/>
  <c r="J435"/>
  <c r="J434" s="1"/>
  <c r="M434"/>
  <c r="L434"/>
  <c r="K434"/>
  <c r="I434"/>
  <c r="H434"/>
  <c r="G434"/>
  <c r="J433"/>
  <c r="P433" s="1"/>
  <c r="J430"/>
  <c r="O429"/>
  <c r="N429"/>
  <c r="M429"/>
  <c r="L429"/>
  <c r="I429"/>
  <c r="H429"/>
  <c r="G429"/>
  <c r="F429"/>
  <c r="E429"/>
  <c r="J428"/>
  <c r="E428"/>
  <c r="E427"/>
  <c r="P427" s="1"/>
  <c r="J426"/>
  <c r="E426"/>
  <c r="P423"/>
  <c r="O422"/>
  <c r="N422"/>
  <c r="M422"/>
  <c r="L422"/>
  <c r="K422"/>
  <c r="J421"/>
  <c r="E421"/>
  <c r="E420" s="1"/>
  <c r="J419"/>
  <c r="E419"/>
  <c r="J418"/>
  <c r="E418"/>
  <c r="E417"/>
  <c r="O416"/>
  <c r="M416"/>
  <c r="L416"/>
  <c r="K416"/>
  <c r="I416"/>
  <c r="H416"/>
  <c r="G416"/>
  <c r="F416"/>
  <c r="J415"/>
  <c r="J414" s="1"/>
  <c r="E415"/>
  <c r="O414"/>
  <c r="N414"/>
  <c r="M414"/>
  <c r="L414"/>
  <c r="K414"/>
  <c r="I414"/>
  <c r="H414"/>
  <c r="G414"/>
  <c r="F414"/>
  <c r="J413"/>
  <c r="E413"/>
  <c r="J412"/>
  <c r="J411" s="1"/>
  <c r="E412"/>
  <c r="O411"/>
  <c r="N411"/>
  <c r="M411"/>
  <c r="L411"/>
  <c r="K411"/>
  <c r="I411"/>
  <c r="H411"/>
  <c r="G411"/>
  <c r="F411"/>
  <c r="E411"/>
  <c r="J410"/>
  <c r="E410"/>
  <c r="O408"/>
  <c r="J409"/>
  <c r="J408" s="1"/>
  <c r="E409"/>
  <c r="N408"/>
  <c r="M408"/>
  <c r="L408"/>
  <c r="K408"/>
  <c r="I408"/>
  <c r="H408"/>
  <c r="G408"/>
  <c r="F408"/>
  <c r="J407"/>
  <c r="P407" s="1"/>
  <c r="E406"/>
  <c r="O405"/>
  <c r="M405"/>
  <c r="L405"/>
  <c r="K405"/>
  <c r="I405"/>
  <c r="H405"/>
  <c r="G405"/>
  <c r="F405"/>
  <c r="O399"/>
  <c r="J404"/>
  <c r="E404"/>
  <c r="J403"/>
  <c r="E403"/>
  <c r="J402"/>
  <c r="N399"/>
  <c r="M399"/>
  <c r="L399"/>
  <c r="K399"/>
  <c r="J398"/>
  <c r="O396"/>
  <c r="J397"/>
  <c r="J396" s="1"/>
  <c r="E397"/>
  <c r="N396"/>
  <c r="M396"/>
  <c r="L396"/>
  <c r="K396"/>
  <c r="I396"/>
  <c r="H396"/>
  <c r="G396"/>
  <c r="F396"/>
  <c r="J393"/>
  <c r="E393"/>
  <c r="J392"/>
  <c r="J391" s="1"/>
  <c r="E392"/>
  <c r="J389"/>
  <c r="J388" s="1"/>
  <c r="E389"/>
  <c r="O388"/>
  <c r="N388"/>
  <c r="M388"/>
  <c r="L388"/>
  <c r="K388"/>
  <c r="I388"/>
  <c r="H388"/>
  <c r="G388"/>
  <c r="J387"/>
  <c r="E387"/>
  <c r="J384"/>
  <c r="E384"/>
  <c r="E381"/>
  <c r="E380" s="1"/>
  <c r="O380"/>
  <c r="N380"/>
  <c r="M380"/>
  <c r="L380"/>
  <c r="K380"/>
  <c r="I380"/>
  <c r="H380"/>
  <c r="G380"/>
  <c r="F380"/>
  <c r="J382" l="1"/>
  <c r="P410"/>
  <c r="P397"/>
  <c r="J420"/>
  <c r="P420" s="1"/>
  <c r="P392"/>
  <c r="E391"/>
  <c r="J399"/>
  <c r="P411"/>
  <c r="P403"/>
  <c r="P412"/>
  <c r="P413"/>
  <c r="J422"/>
  <c r="E422"/>
  <c r="P419"/>
  <c r="P418"/>
  <c r="P415"/>
  <c r="E414"/>
  <c r="P414" s="1"/>
  <c r="P404"/>
  <c r="P400"/>
  <c r="P393"/>
  <c r="L379"/>
  <c r="L436" s="1"/>
  <c r="E382"/>
  <c r="P398"/>
  <c r="E396"/>
  <c r="P396" s="1"/>
  <c r="H379"/>
  <c r="H436" s="1"/>
  <c r="P389"/>
  <c r="P435"/>
  <c r="E434"/>
  <c r="P434" s="1"/>
  <c r="F434"/>
  <c r="P380"/>
  <c r="P381"/>
  <c r="O379"/>
  <c r="O436" s="1"/>
  <c r="E402"/>
  <c r="E399" s="1"/>
  <c r="P409"/>
  <c r="E408"/>
  <c r="P408" s="1"/>
  <c r="P384"/>
  <c r="P387"/>
  <c r="G379"/>
  <c r="G436" s="1"/>
  <c r="I379"/>
  <c r="I436" s="1"/>
  <c r="M379"/>
  <c r="M436" s="1"/>
  <c r="E390"/>
  <c r="F388"/>
  <c r="F379" s="1"/>
  <c r="E405"/>
  <c r="J406"/>
  <c r="J405" s="1"/>
  <c r="N405"/>
  <c r="E416"/>
  <c r="J417"/>
  <c r="J416" s="1"/>
  <c r="N416"/>
  <c r="P426"/>
  <c r="P428"/>
  <c r="P430"/>
  <c r="J429"/>
  <c r="P429" s="1"/>
  <c r="P421"/>
  <c r="K429"/>
  <c r="K379" s="1"/>
  <c r="K436" s="1"/>
  <c r="O355"/>
  <c r="N355"/>
  <c r="F344"/>
  <c r="M334"/>
  <c r="L334"/>
  <c r="K334"/>
  <c r="J336"/>
  <c r="P336" s="1"/>
  <c r="O333"/>
  <c r="O330" s="1"/>
  <c r="N333"/>
  <c r="O326"/>
  <c r="N326"/>
  <c r="N324" s="1"/>
  <c r="F326"/>
  <c r="O319"/>
  <c r="N319"/>
  <c r="O317"/>
  <c r="O316" s="1"/>
  <c r="N317"/>
  <c r="J362"/>
  <c r="G362"/>
  <c r="F362"/>
  <c r="E362" s="1"/>
  <c r="O361"/>
  <c r="N361"/>
  <c r="M361"/>
  <c r="L361"/>
  <c r="K361"/>
  <c r="J361"/>
  <c r="I361"/>
  <c r="H361"/>
  <c r="G361"/>
  <c r="F361"/>
  <c r="N360"/>
  <c r="J360"/>
  <c r="P360" s="1"/>
  <c r="N357"/>
  <c r="N356" s="1"/>
  <c r="K357"/>
  <c r="J357" s="1"/>
  <c r="P357" s="1"/>
  <c r="O356"/>
  <c r="M356"/>
  <c r="L356"/>
  <c r="I356"/>
  <c r="H356"/>
  <c r="G356"/>
  <c r="F356"/>
  <c r="E356"/>
  <c r="J355"/>
  <c r="F355"/>
  <c r="E355" s="1"/>
  <c r="E354"/>
  <c r="P354" s="1"/>
  <c r="J353"/>
  <c r="F353"/>
  <c r="E353" s="1"/>
  <c r="J352"/>
  <c r="P352" s="1"/>
  <c r="O351"/>
  <c r="N351"/>
  <c r="M351"/>
  <c r="L351"/>
  <c r="K351"/>
  <c r="I351"/>
  <c r="H351"/>
  <c r="G351"/>
  <c r="F351"/>
  <c r="J350"/>
  <c r="J349" s="1"/>
  <c r="E350"/>
  <c r="P350" s="1"/>
  <c r="J348"/>
  <c r="E348"/>
  <c r="P348" s="1"/>
  <c r="O347"/>
  <c r="N347"/>
  <c r="J347" s="1"/>
  <c r="E347"/>
  <c r="O346"/>
  <c r="O345" s="1"/>
  <c r="N346"/>
  <c r="J346"/>
  <c r="J345" s="1"/>
  <c r="E346"/>
  <c r="N345"/>
  <c r="M345"/>
  <c r="L345"/>
  <c r="K345"/>
  <c r="I345"/>
  <c r="H345"/>
  <c r="G345"/>
  <c r="F345"/>
  <c r="E345"/>
  <c r="J344"/>
  <c r="E344"/>
  <c r="O343"/>
  <c r="N343"/>
  <c r="M343"/>
  <c r="L343"/>
  <c r="K343"/>
  <c r="J343"/>
  <c r="I343"/>
  <c r="H343"/>
  <c r="G343"/>
  <c r="F343"/>
  <c r="J342"/>
  <c r="E342"/>
  <c r="J341"/>
  <c r="E341"/>
  <c r="P341" s="1"/>
  <c r="O340"/>
  <c r="N340"/>
  <c r="M340"/>
  <c r="L340"/>
  <c r="K340"/>
  <c r="J340"/>
  <c r="I340"/>
  <c r="H340"/>
  <c r="G340"/>
  <c r="F340"/>
  <c r="J339"/>
  <c r="I339"/>
  <c r="E339" s="1"/>
  <c r="O338"/>
  <c r="N338"/>
  <c r="J338" s="1"/>
  <c r="J337" s="1"/>
  <c r="I338"/>
  <c r="F338"/>
  <c r="O337"/>
  <c r="M337"/>
  <c r="L337"/>
  <c r="K337"/>
  <c r="I337"/>
  <c r="H337"/>
  <c r="G337"/>
  <c r="F337"/>
  <c r="O335"/>
  <c r="O334" s="1"/>
  <c r="N335"/>
  <c r="N334" s="1"/>
  <c r="E335"/>
  <c r="I334"/>
  <c r="H334"/>
  <c r="G334"/>
  <c r="F334"/>
  <c r="J333"/>
  <c r="H333"/>
  <c r="H330" s="1"/>
  <c r="F333"/>
  <c r="E333" s="1"/>
  <c r="J332"/>
  <c r="I332"/>
  <c r="E332" s="1"/>
  <c r="J331"/>
  <c r="I331"/>
  <c r="E331"/>
  <c r="P331" s="1"/>
  <c r="M330"/>
  <c r="L330"/>
  <c r="K330"/>
  <c r="I330"/>
  <c r="G330"/>
  <c r="F330"/>
  <c r="O329"/>
  <c r="N329"/>
  <c r="J329" s="1"/>
  <c r="E329"/>
  <c r="O328"/>
  <c r="N328"/>
  <c r="J328" s="1"/>
  <c r="J327" s="1"/>
  <c r="F328"/>
  <c r="E328" s="1"/>
  <c r="O327"/>
  <c r="M327"/>
  <c r="L327"/>
  <c r="K327"/>
  <c r="I327"/>
  <c r="H327"/>
  <c r="G327"/>
  <c r="F327"/>
  <c r="J326"/>
  <c r="H326"/>
  <c r="G326"/>
  <c r="E326"/>
  <c r="J325"/>
  <c r="F325"/>
  <c r="E325" s="1"/>
  <c r="O324"/>
  <c r="M324"/>
  <c r="L324"/>
  <c r="K324"/>
  <c r="I324"/>
  <c r="H324"/>
  <c r="G324"/>
  <c r="F324"/>
  <c r="F323"/>
  <c r="E323"/>
  <c r="J322"/>
  <c r="E322"/>
  <c r="O321"/>
  <c r="N321"/>
  <c r="M321"/>
  <c r="L321"/>
  <c r="K321"/>
  <c r="J321"/>
  <c r="I321"/>
  <c r="H321"/>
  <c r="G321"/>
  <c r="F321"/>
  <c r="J320"/>
  <c r="F320"/>
  <c r="E320" s="1"/>
  <c r="J319"/>
  <c r="E319"/>
  <c r="P319" s="1"/>
  <c r="O318"/>
  <c r="N318"/>
  <c r="M318"/>
  <c r="L318"/>
  <c r="K318"/>
  <c r="I318"/>
  <c r="H318"/>
  <c r="G318"/>
  <c r="J317"/>
  <c r="J316" s="1"/>
  <c r="H317"/>
  <c r="G317"/>
  <c r="F317"/>
  <c r="E317" s="1"/>
  <c r="P317" s="1"/>
  <c r="N316"/>
  <c r="M316"/>
  <c r="L316"/>
  <c r="K316"/>
  <c r="I316"/>
  <c r="H316"/>
  <c r="G316"/>
  <c r="G315" s="1"/>
  <c r="G363" s="1"/>
  <c r="F316"/>
  <c r="M315"/>
  <c r="M363" s="1"/>
  <c r="P382" l="1"/>
  <c r="N327"/>
  <c r="P422"/>
  <c r="J379"/>
  <c r="E321"/>
  <c r="P329"/>
  <c r="E330"/>
  <c r="J335"/>
  <c r="J334" s="1"/>
  <c r="E338"/>
  <c r="N379"/>
  <c r="N436" s="1"/>
  <c r="P405"/>
  <c r="J318"/>
  <c r="I315"/>
  <c r="I363" s="1"/>
  <c r="P345"/>
  <c r="K356"/>
  <c r="K315" s="1"/>
  <c r="K363" s="1"/>
  <c r="J436"/>
  <c r="P391"/>
  <c r="P321"/>
  <c r="E316"/>
  <c r="P316" s="1"/>
  <c r="E334"/>
  <c r="E340"/>
  <c r="P340" s="1"/>
  <c r="P353"/>
  <c r="P355"/>
  <c r="J324"/>
  <c r="P339"/>
  <c r="E349"/>
  <c r="P349" s="1"/>
  <c r="H315"/>
  <c r="H363" s="1"/>
  <c r="L315"/>
  <c r="L363" s="1"/>
  <c r="P322"/>
  <c r="P332"/>
  <c r="P342"/>
  <c r="P346"/>
  <c r="P347"/>
  <c r="E351"/>
  <c r="F436"/>
  <c r="P417"/>
  <c r="P399"/>
  <c r="P402"/>
  <c r="P416"/>
  <c r="P390"/>
  <c r="E388"/>
  <c r="P388" s="1"/>
  <c r="P406"/>
  <c r="J330"/>
  <c r="P330" s="1"/>
  <c r="P333"/>
  <c r="O315"/>
  <c r="O363" s="1"/>
  <c r="P320"/>
  <c r="E318"/>
  <c r="E337"/>
  <c r="P337" s="1"/>
  <c r="P338"/>
  <c r="E343"/>
  <c r="P343" s="1"/>
  <c r="P344"/>
  <c r="E324"/>
  <c r="P324" s="1"/>
  <c r="P325"/>
  <c r="P326"/>
  <c r="E327"/>
  <c r="P327" s="1"/>
  <c r="P328"/>
  <c r="P362"/>
  <c r="E361"/>
  <c r="P361" s="1"/>
  <c r="P323"/>
  <c r="F318"/>
  <c r="F315" s="1"/>
  <c r="F363" s="1"/>
  <c r="N330"/>
  <c r="N337"/>
  <c r="J351"/>
  <c r="J356"/>
  <c r="P356" s="1"/>
  <c r="F270"/>
  <c r="F267" s="1"/>
  <c r="N293"/>
  <c r="K293"/>
  <c r="K292" s="1"/>
  <c r="I287"/>
  <c r="H287"/>
  <c r="G287"/>
  <c r="E290"/>
  <c r="P290" s="1"/>
  <c r="F274"/>
  <c r="H263"/>
  <c r="G263"/>
  <c r="G261" s="1"/>
  <c r="F263"/>
  <c r="F262"/>
  <c r="F260"/>
  <c r="E260" s="1"/>
  <c r="F257"/>
  <c r="H254"/>
  <c r="H253" s="1"/>
  <c r="G254"/>
  <c r="F254"/>
  <c r="E254" s="1"/>
  <c r="J298"/>
  <c r="G298"/>
  <c r="G297" s="1"/>
  <c r="F298"/>
  <c r="E298"/>
  <c r="P298" s="1"/>
  <c r="O297"/>
  <c r="N297"/>
  <c r="M297"/>
  <c r="L297"/>
  <c r="K297"/>
  <c r="J297"/>
  <c r="I297"/>
  <c r="H297"/>
  <c r="F297"/>
  <c r="N296"/>
  <c r="J296" s="1"/>
  <c r="P296" s="1"/>
  <c r="O292"/>
  <c r="N292"/>
  <c r="M292"/>
  <c r="L292"/>
  <c r="I292"/>
  <c r="H292"/>
  <c r="G292"/>
  <c r="F292"/>
  <c r="E292"/>
  <c r="O291"/>
  <c r="O287" s="1"/>
  <c r="N291"/>
  <c r="J291" s="1"/>
  <c r="F291"/>
  <c r="E291" s="1"/>
  <c r="J289"/>
  <c r="F289"/>
  <c r="E289" s="1"/>
  <c r="E287" s="1"/>
  <c r="J288"/>
  <c r="P288" s="1"/>
  <c r="M287"/>
  <c r="L287"/>
  <c r="K287"/>
  <c r="J286"/>
  <c r="J285" s="1"/>
  <c r="E286"/>
  <c r="E285" s="1"/>
  <c r="J284"/>
  <c r="E284"/>
  <c r="O283"/>
  <c r="N283"/>
  <c r="J283" s="1"/>
  <c r="E283"/>
  <c r="O282"/>
  <c r="O281" s="1"/>
  <c r="N282"/>
  <c r="J282" s="1"/>
  <c r="J281" s="1"/>
  <c r="E282"/>
  <c r="N281"/>
  <c r="M281"/>
  <c r="L281"/>
  <c r="K281"/>
  <c r="I281"/>
  <c r="H281"/>
  <c r="G281"/>
  <c r="F281"/>
  <c r="E281"/>
  <c r="J280"/>
  <c r="F280"/>
  <c r="E280" s="1"/>
  <c r="O279"/>
  <c r="N279"/>
  <c r="M279"/>
  <c r="L279"/>
  <c r="K279"/>
  <c r="J279"/>
  <c r="I279"/>
  <c r="H279"/>
  <c r="G279"/>
  <c r="F279"/>
  <c r="J278"/>
  <c r="E278"/>
  <c r="J277"/>
  <c r="E277"/>
  <c r="P277" s="1"/>
  <c r="O276"/>
  <c r="N276"/>
  <c r="M276"/>
  <c r="L276"/>
  <c r="K276"/>
  <c r="J276"/>
  <c r="I276"/>
  <c r="H276"/>
  <c r="G276"/>
  <c r="F276"/>
  <c r="J275"/>
  <c r="I275"/>
  <c r="E275" s="1"/>
  <c r="O274"/>
  <c r="N274"/>
  <c r="J274" s="1"/>
  <c r="J273" s="1"/>
  <c r="I274"/>
  <c r="O273"/>
  <c r="M273"/>
  <c r="L273"/>
  <c r="K273"/>
  <c r="I273"/>
  <c r="H273"/>
  <c r="G273"/>
  <c r="O272"/>
  <c r="O271" s="1"/>
  <c r="N272"/>
  <c r="J272" s="1"/>
  <c r="E272"/>
  <c r="M271"/>
  <c r="L271"/>
  <c r="K271"/>
  <c r="I271"/>
  <c r="H271"/>
  <c r="G271"/>
  <c r="F271"/>
  <c r="E271"/>
  <c r="O270"/>
  <c r="N270"/>
  <c r="J270" s="1"/>
  <c r="H270"/>
  <c r="H267" s="1"/>
  <c r="E270"/>
  <c r="J269"/>
  <c r="I269"/>
  <c r="E269" s="1"/>
  <c r="J268"/>
  <c r="I268"/>
  <c r="E268"/>
  <c r="O267"/>
  <c r="M267"/>
  <c r="L267"/>
  <c r="K267"/>
  <c r="I267"/>
  <c r="G267"/>
  <c r="O266"/>
  <c r="N266"/>
  <c r="J266" s="1"/>
  <c r="E266"/>
  <c r="O265"/>
  <c r="O264" s="1"/>
  <c r="N265"/>
  <c r="J265" s="1"/>
  <c r="J264" s="1"/>
  <c r="F265"/>
  <c r="E265" s="1"/>
  <c r="M264"/>
  <c r="L264"/>
  <c r="K264"/>
  <c r="I264"/>
  <c r="H264"/>
  <c r="G264"/>
  <c r="F264"/>
  <c r="O263"/>
  <c r="N263"/>
  <c r="J263" s="1"/>
  <c r="J262"/>
  <c r="E262"/>
  <c r="O261"/>
  <c r="M261"/>
  <c r="L261"/>
  <c r="K261"/>
  <c r="I261"/>
  <c r="H261"/>
  <c r="J259"/>
  <c r="E259"/>
  <c r="O258"/>
  <c r="N258"/>
  <c r="M258"/>
  <c r="L258"/>
  <c r="K258"/>
  <c r="J258"/>
  <c r="I258"/>
  <c r="H258"/>
  <c r="G258"/>
  <c r="F258"/>
  <c r="J257"/>
  <c r="E257"/>
  <c r="J256"/>
  <c r="J255" s="1"/>
  <c r="E256"/>
  <c r="O255"/>
  <c r="N255"/>
  <c r="M255"/>
  <c r="L255"/>
  <c r="K255"/>
  <c r="I255"/>
  <c r="H255"/>
  <c r="G255"/>
  <c r="F255"/>
  <c r="J254"/>
  <c r="J253" s="1"/>
  <c r="O253"/>
  <c r="N253"/>
  <c r="M253"/>
  <c r="M252" s="1"/>
  <c r="M299" s="1"/>
  <c r="L253"/>
  <c r="K253"/>
  <c r="I253"/>
  <c r="G253"/>
  <c r="P269" l="1"/>
  <c r="E274"/>
  <c r="E273" s="1"/>
  <c r="F287"/>
  <c r="K252"/>
  <c r="K299" s="1"/>
  <c r="F261"/>
  <c r="E267"/>
  <c r="P273"/>
  <c r="F253"/>
  <c r="I252"/>
  <c r="I299" s="1"/>
  <c r="N261"/>
  <c r="E263"/>
  <c r="N264"/>
  <c r="N271"/>
  <c r="J271" s="1"/>
  <c r="P271" s="1"/>
  <c r="N287"/>
  <c r="E297"/>
  <c r="P297" s="1"/>
  <c r="N315"/>
  <c r="N363" s="1"/>
  <c r="P334"/>
  <c r="P335"/>
  <c r="P281"/>
  <c r="P256"/>
  <c r="P266"/>
  <c r="P275"/>
  <c r="P283"/>
  <c r="P278"/>
  <c r="P284"/>
  <c r="P286"/>
  <c r="J287"/>
  <c r="P287" s="1"/>
  <c r="E258"/>
  <c r="P258" s="1"/>
  <c r="O252"/>
  <c r="O299" s="1"/>
  <c r="P285"/>
  <c r="H252"/>
  <c r="H299" s="1"/>
  <c r="L252"/>
  <c r="L299" s="1"/>
  <c r="P282"/>
  <c r="P262"/>
  <c r="E255"/>
  <c r="P255" s="1"/>
  <c r="P259"/>
  <c r="J261"/>
  <c r="P268"/>
  <c r="P272"/>
  <c r="E276"/>
  <c r="P276" s="1"/>
  <c r="P291"/>
  <c r="G252"/>
  <c r="G299" s="1"/>
  <c r="E379"/>
  <c r="E436" s="1"/>
  <c r="P436" s="1"/>
  <c r="J315"/>
  <c r="J363" s="1"/>
  <c r="P351"/>
  <c r="P318"/>
  <c r="E315"/>
  <c r="J293"/>
  <c r="P293" s="1"/>
  <c r="F273"/>
  <c r="E261"/>
  <c r="P261" s="1"/>
  <c r="P254"/>
  <c r="E253"/>
  <c r="P253" s="1"/>
  <c r="F252"/>
  <c r="F299" s="1"/>
  <c r="E264"/>
  <c r="P264" s="1"/>
  <c r="P265"/>
  <c r="J267"/>
  <c r="P267" s="1"/>
  <c r="P270"/>
  <c r="P274"/>
  <c r="E279"/>
  <c r="P279" s="1"/>
  <c r="P280"/>
  <c r="J292"/>
  <c r="P289"/>
  <c r="P257"/>
  <c r="P260"/>
  <c r="P263"/>
  <c r="N267"/>
  <c r="N273"/>
  <c r="N204"/>
  <c r="O204"/>
  <c r="F204"/>
  <c r="N252" l="1"/>
  <c r="N299" s="1"/>
  <c r="J252"/>
  <c r="J299" s="1"/>
  <c r="P379"/>
  <c r="P315"/>
  <c r="E363"/>
  <c r="P363" s="1"/>
  <c r="P292"/>
  <c r="E252"/>
  <c r="N231"/>
  <c r="P252" l="1"/>
  <c r="E299"/>
  <c r="P299" s="1"/>
  <c r="F219"/>
  <c r="K231" l="1"/>
  <c r="J235"/>
  <c r="G235"/>
  <c r="F235"/>
  <c r="E235" s="1"/>
  <c r="O234"/>
  <c r="N234"/>
  <c r="M234"/>
  <c r="L234"/>
  <c r="K234"/>
  <c r="J234"/>
  <c r="I234"/>
  <c r="H234"/>
  <c r="G234"/>
  <c r="F234"/>
  <c r="N233"/>
  <c r="J233"/>
  <c r="P233" s="1"/>
  <c r="J231"/>
  <c r="P231" s="1"/>
  <c r="O230"/>
  <c r="N230"/>
  <c r="M230"/>
  <c r="L230"/>
  <c r="K230"/>
  <c r="I230"/>
  <c r="H230"/>
  <c r="G230"/>
  <c r="F230"/>
  <c r="E230"/>
  <c r="O229"/>
  <c r="N229"/>
  <c r="J229"/>
  <c r="F229"/>
  <c r="E229"/>
  <c r="J228"/>
  <c r="F228"/>
  <c r="E228" s="1"/>
  <c r="E226" s="1"/>
  <c r="J227"/>
  <c r="P227" s="1"/>
  <c r="O226"/>
  <c r="N226"/>
  <c r="M226"/>
  <c r="L226"/>
  <c r="K226"/>
  <c r="I226"/>
  <c r="H226"/>
  <c r="G226"/>
  <c r="F226"/>
  <c r="J225"/>
  <c r="J224" s="1"/>
  <c r="E225"/>
  <c r="P225" s="1"/>
  <c r="J223"/>
  <c r="E223"/>
  <c r="O222"/>
  <c r="N222"/>
  <c r="J222" s="1"/>
  <c r="E222"/>
  <c r="O221"/>
  <c r="O220" s="1"/>
  <c r="N221"/>
  <c r="J221"/>
  <c r="J220" s="1"/>
  <c r="E221"/>
  <c r="N220"/>
  <c r="M220"/>
  <c r="L220"/>
  <c r="K220"/>
  <c r="I220"/>
  <c r="H220"/>
  <c r="G220"/>
  <c r="F220"/>
  <c r="J219"/>
  <c r="J218" s="1"/>
  <c r="E219"/>
  <c r="O218"/>
  <c r="N218"/>
  <c r="M218"/>
  <c r="L218"/>
  <c r="K218"/>
  <c r="I218"/>
  <c r="H218"/>
  <c r="G218"/>
  <c r="F218"/>
  <c r="J217"/>
  <c r="E217"/>
  <c r="J216"/>
  <c r="E216"/>
  <c r="P216" s="1"/>
  <c r="O215"/>
  <c r="N215"/>
  <c r="M215"/>
  <c r="L215"/>
  <c r="K215"/>
  <c r="J215"/>
  <c r="I215"/>
  <c r="H215"/>
  <c r="G215"/>
  <c r="F215"/>
  <c r="J214"/>
  <c r="I214"/>
  <c r="E214" s="1"/>
  <c r="P214" s="1"/>
  <c r="O213"/>
  <c r="N213"/>
  <c r="J213" s="1"/>
  <c r="J212" s="1"/>
  <c r="I213"/>
  <c r="F213"/>
  <c r="E213" s="1"/>
  <c r="E212" s="1"/>
  <c r="P212" s="1"/>
  <c r="O212"/>
  <c r="M212"/>
  <c r="L212"/>
  <c r="K212"/>
  <c r="I212"/>
  <c r="H212"/>
  <c r="G212"/>
  <c r="O211"/>
  <c r="O210" s="1"/>
  <c r="N211"/>
  <c r="J211"/>
  <c r="E211"/>
  <c r="N210"/>
  <c r="M210"/>
  <c r="L210"/>
  <c r="K210"/>
  <c r="J210"/>
  <c r="I210"/>
  <c r="H210"/>
  <c r="G210"/>
  <c r="F210"/>
  <c r="E210"/>
  <c r="O209"/>
  <c r="N209"/>
  <c r="H209"/>
  <c r="H206" s="1"/>
  <c r="F209"/>
  <c r="E209"/>
  <c r="J208"/>
  <c r="I208"/>
  <c r="E208" s="1"/>
  <c r="P208" s="1"/>
  <c r="J207"/>
  <c r="I207"/>
  <c r="E207" s="1"/>
  <c r="O206"/>
  <c r="M206"/>
  <c r="L206"/>
  <c r="K206"/>
  <c r="I206"/>
  <c r="G206"/>
  <c r="F206"/>
  <c r="O205"/>
  <c r="N205"/>
  <c r="J205" s="1"/>
  <c r="E205"/>
  <c r="E204"/>
  <c r="E203" s="1"/>
  <c r="O203"/>
  <c r="M203"/>
  <c r="L203"/>
  <c r="K203"/>
  <c r="I203"/>
  <c r="H203"/>
  <c r="G203"/>
  <c r="F203"/>
  <c r="O202"/>
  <c r="N202"/>
  <c r="J202" s="1"/>
  <c r="H202"/>
  <c r="F202"/>
  <c r="J201"/>
  <c r="E201"/>
  <c r="O200"/>
  <c r="N200"/>
  <c r="M200"/>
  <c r="L200"/>
  <c r="K200"/>
  <c r="I200"/>
  <c r="H200"/>
  <c r="G200"/>
  <c r="F199"/>
  <c r="J198"/>
  <c r="E198"/>
  <c r="O197"/>
  <c r="N197"/>
  <c r="M197"/>
  <c r="L197"/>
  <c r="K197"/>
  <c r="J197"/>
  <c r="I197"/>
  <c r="H197"/>
  <c r="G197"/>
  <c r="J196"/>
  <c r="E196"/>
  <c r="J195"/>
  <c r="E195"/>
  <c r="O194"/>
  <c r="N194"/>
  <c r="M194"/>
  <c r="L194"/>
  <c r="K194"/>
  <c r="I194"/>
  <c r="H194"/>
  <c r="G194"/>
  <c r="F194"/>
  <c r="E194"/>
  <c r="J193"/>
  <c r="H193"/>
  <c r="F193"/>
  <c r="E193" s="1"/>
  <c r="O192"/>
  <c r="N192"/>
  <c r="M192"/>
  <c r="L192"/>
  <c r="L191" s="1"/>
  <c r="L236" s="1"/>
  <c r="K192"/>
  <c r="J192"/>
  <c r="I192"/>
  <c r="H192"/>
  <c r="H191" s="1"/>
  <c r="H236" s="1"/>
  <c r="G192"/>
  <c r="F192"/>
  <c r="J200" l="1"/>
  <c r="E224"/>
  <c r="P224" s="1"/>
  <c r="P195"/>
  <c r="F212"/>
  <c r="J194"/>
  <c r="P194" s="1"/>
  <c r="E206"/>
  <c r="P217"/>
  <c r="P221"/>
  <c r="P198"/>
  <c r="P211"/>
  <c r="E215"/>
  <c r="P215" s="1"/>
  <c r="P223"/>
  <c r="P228"/>
  <c r="I191"/>
  <c r="I236" s="1"/>
  <c r="G191"/>
  <c r="G236" s="1"/>
  <c r="P207"/>
  <c r="P210"/>
  <c r="E220"/>
  <c r="P220" s="1"/>
  <c r="P229"/>
  <c r="E199"/>
  <c r="F197"/>
  <c r="P201"/>
  <c r="J204"/>
  <c r="N203"/>
  <c r="J209"/>
  <c r="J206" s="1"/>
  <c r="P206" s="1"/>
  <c r="N206"/>
  <c r="P193"/>
  <c r="E192"/>
  <c r="K191"/>
  <c r="K236" s="1"/>
  <c r="M191"/>
  <c r="M236" s="1"/>
  <c r="O191"/>
  <c r="O236" s="1"/>
  <c r="P196"/>
  <c r="E202"/>
  <c r="P202" s="1"/>
  <c r="F200"/>
  <c r="P205"/>
  <c r="P209"/>
  <c r="P213"/>
  <c r="E218"/>
  <c r="P218" s="1"/>
  <c r="P219"/>
  <c r="P222"/>
  <c r="P235"/>
  <c r="E234"/>
  <c r="P234" s="1"/>
  <c r="N212"/>
  <c r="J226"/>
  <c r="P226" s="1"/>
  <c r="J230"/>
  <c r="P230" s="1"/>
  <c r="G174"/>
  <c r="H133"/>
  <c r="F133"/>
  <c r="N142"/>
  <c r="O142"/>
  <c r="H142"/>
  <c r="F142"/>
  <c r="H149"/>
  <c r="N149"/>
  <c r="O149"/>
  <c r="F149"/>
  <c r="F159"/>
  <c r="F191" l="1"/>
  <c r="F236" s="1"/>
  <c r="N191"/>
  <c r="N236" s="1"/>
  <c r="P192"/>
  <c r="J203"/>
  <c r="P204"/>
  <c r="P199"/>
  <c r="E197"/>
  <c r="P197" s="1"/>
  <c r="E200"/>
  <c r="P200" s="1"/>
  <c r="I147"/>
  <c r="I148"/>
  <c r="N161"/>
  <c r="O161"/>
  <c r="N162"/>
  <c r="O162"/>
  <c r="F153"/>
  <c r="I153"/>
  <c r="I154"/>
  <c r="J191" l="1"/>
  <c r="J236" s="1"/>
  <c r="P203"/>
  <c r="E191"/>
  <c r="N145"/>
  <c r="O145"/>
  <c r="O144"/>
  <c r="N144"/>
  <c r="J144" s="1"/>
  <c r="J143" s="1"/>
  <c r="O169"/>
  <c r="N169"/>
  <c r="J169" s="1"/>
  <c r="F169"/>
  <c r="E169" s="1"/>
  <c r="F168"/>
  <c r="E168" s="1"/>
  <c r="E154"/>
  <c r="I152"/>
  <c r="F146"/>
  <c r="F174"/>
  <c r="E174" s="1"/>
  <c r="H132"/>
  <c r="J174"/>
  <c r="O173"/>
  <c r="N173"/>
  <c r="M173"/>
  <c r="L173"/>
  <c r="K173"/>
  <c r="J173"/>
  <c r="I173"/>
  <c r="H173"/>
  <c r="G173"/>
  <c r="N172"/>
  <c r="J172" s="1"/>
  <c r="J171"/>
  <c r="P171" s="1"/>
  <c r="O170"/>
  <c r="M170"/>
  <c r="L170"/>
  <c r="K170"/>
  <c r="I170"/>
  <c r="H170"/>
  <c r="G170"/>
  <c r="F170"/>
  <c r="E170"/>
  <c r="J168"/>
  <c r="J167"/>
  <c r="P167" s="1"/>
  <c r="O166"/>
  <c r="M166"/>
  <c r="L166"/>
  <c r="K166"/>
  <c r="I166"/>
  <c r="H166"/>
  <c r="G166"/>
  <c r="J165"/>
  <c r="J164" s="1"/>
  <c r="E165"/>
  <c r="J163"/>
  <c r="E163"/>
  <c r="J162"/>
  <c r="E162"/>
  <c r="J161"/>
  <c r="J160" s="1"/>
  <c r="E161"/>
  <c r="O160"/>
  <c r="M160"/>
  <c r="L160"/>
  <c r="K160"/>
  <c r="I160"/>
  <c r="H160"/>
  <c r="G160"/>
  <c r="F160"/>
  <c r="J159"/>
  <c r="J158" s="1"/>
  <c r="E159"/>
  <c r="O158"/>
  <c r="N158"/>
  <c r="M158"/>
  <c r="L158"/>
  <c r="K158"/>
  <c r="I158"/>
  <c r="H158"/>
  <c r="G158"/>
  <c r="F158"/>
  <c r="J157"/>
  <c r="E157"/>
  <c r="J156"/>
  <c r="J155" s="1"/>
  <c r="E156"/>
  <c r="O155"/>
  <c r="N155"/>
  <c r="M155"/>
  <c r="L155"/>
  <c r="K155"/>
  <c r="I155"/>
  <c r="H155"/>
  <c r="G155"/>
  <c r="F155"/>
  <c r="E155"/>
  <c r="J154"/>
  <c r="O153"/>
  <c r="O152" s="1"/>
  <c r="N153"/>
  <c r="J153"/>
  <c r="J152" s="1"/>
  <c r="N152"/>
  <c r="M152"/>
  <c r="L152"/>
  <c r="K152"/>
  <c r="H152"/>
  <c r="G152"/>
  <c r="F152"/>
  <c r="O151"/>
  <c r="O150" s="1"/>
  <c r="N151"/>
  <c r="J151" s="1"/>
  <c r="E151"/>
  <c r="P151" s="1"/>
  <c r="M150"/>
  <c r="L150"/>
  <c r="K150"/>
  <c r="I150"/>
  <c r="H150"/>
  <c r="G150"/>
  <c r="F150"/>
  <c r="O146"/>
  <c r="J149"/>
  <c r="E149"/>
  <c r="J148"/>
  <c r="E148"/>
  <c r="J147"/>
  <c r="E147"/>
  <c r="N146"/>
  <c r="M146"/>
  <c r="L146"/>
  <c r="K146"/>
  <c r="J146"/>
  <c r="I146"/>
  <c r="H146"/>
  <c r="G146"/>
  <c r="J145"/>
  <c r="E145"/>
  <c r="E144"/>
  <c r="O143"/>
  <c r="M143"/>
  <c r="L143"/>
  <c r="K143"/>
  <c r="I143"/>
  <c r="H143"/>
  <c r="G143"/>
  <c r="F143"/>
  <c r="E143"/>
  <c r="J142"/>
  <c r="E142"/>
  <c r="J141"/>
  <c r="E141"/>
  <c r="O140"/>
  <c r="M140"/>
  <c r="L140"/>
  <c r="K140"/>
  <c r="I140"/>
  <c r="H140"/>
  <c r="G140"/>
  <c r="F139"/>
  <c r="E139" s="1"/>
  <c r="J138"/>
  <c r="J137" s="1"/>
  <c r="E138"/>
  <c r="O137"/>
  <c r="N137"/>
  <c r="M137"/>
  <c r="L137"/>
  <c r="K137"/>
  <c r="I137"/>
  <c r="H137"/>
  <c r="G137"/>
  <c r="J136"/>
  <c r="E136"/>
  <c r="J135"/>
  <c r="E135"/>
  <c r="O134"/>
  <c r="N134"/>
  <c r="M134"/>
  <c r="L134"/>
  <c r="K134"/>
  <c r="I134"/>
  <c r="H134"/>
  <c r="G134"/>
  <c r="F134"/>
  <c r="J133"/>
  <c r="J132" s="1"/>
  <c r="E133"/>
  <c r="O132"/>
  <c r="N132"/>
  <c r="M132"/>
  <c r="L132"/>
  <c r="K132"/>
  <c r="I132"/>
  <c r="G132"/>
  <c r="F132"/>
  <c r="P133" l="1"/>
  <c r="M131"/>
  <c r="M175" s="1"/>
  <c r="J134"/>
  <c r="N143"/>
  <c r="P155"/>
  <c r="N170"/>
  <c r="K131"/>
  <c r="K175" s="1"/>
  <c r="G131"/>
  <c r="G175" s="1"/>
  <c r="P135"/>
  <c r="P147"/>
  <c r="P157"/>
  <c r="P159"/>
  <c r="E150"/>
  <c r="P161"/>
  <c r="P138"/>
  <c r="L131"/>
  <c r="L175" s="1"/>
  <c r="P168"/>
  <c r="J166"/>
  <c r="P141"/>
  <c r="P163"/>
  <c r="P143"/>
  <c r="E134"/>
  <c r="P134" s="1"/>
  <c r="P136"/>
  <c r="J140"/>
  <c r="P148"/>
  <c r="P156"/>
  <c r="E160"/>
  <c r="P160" s="1"/>
  <c r="P165"/>
  <c r="P154"/>
  <c r="E236"/>
  <c r="P236" s="1"/>
  <c r="P191"/>
  <c r="P149"/>
  <c r="E158"/>
  <c r="P158" s="1"/>
  <c r="I131"/>
  <c r="I175" s="1"/>
  <c r="E146"/>
  <c r="P146" s="1"/>
  <c r="P162"/>
  <c r="P145"/>
  <c r="P144"/>
  <c r="O131"/>
  <c r="O175" s="1"/>
  <c r="N166"/>
  <c r="P169"/>
  <c r="F166"/>
  <c r="E153"/>
  <c r="P153" s="1"/>
  <c r="P174"/>
  <c r="E173"/>
  <c r="P173" s="1"/>
  <c r="F173"/>
  <c r="E132"/>
  <c r="P132" s="1"/>
  <c r="H131"/>
  <c r="H175" s="1"/>
  <c r="P139"/>
  <c r="E137"/>
  <c r="P142"/>
  <c r="E140"/>
  <c r="J170"/>
  <c r="P170" s="1"/>
  <c r="P172"/>
  <c r="F137"/>
  <c r="F140"/>
  <c r="N140"/>
  <c r="N150"/>
  <c r="J150" s="1"/>
  <c r="J131" s="1"/>
  <c r="J175" s="1"/>
  <c r="N160"/>
  <c r="E164"/>
  <c r="P164" s="1"/>
  <c r="E166"/>
  <c r="P166" s="1"/>
  <c r="N96"/>
  <c r="N95"/>
  <c r="N106"/>
  <c r="N104" s="1"/>
  <c r="F73"/>
  <c r="E73" s="1"/>
  <c r="O66"/>
  <c r="N66"/>
  <c r="M66"/>
  <c r="L66"/>
  <c r="K66"/>
  <c r="I66"/>
  <c r="H66"/>
  <c r="G66"/>
  <c r="J105"/>
  <c r="O104"/>
  <c r="M104"/>
  <c r="L104"/>
  <c r="K104"/>
  <c r="I104"/>
  <c r="H104"/>
  <c r="G104"/>
  <c r="F104"/>
  <c r="E104"/>
  <c r="J103"/>
  <c r="J102"/>
  <c r="J101"/>
  <c r="O100"/>
  <c r="N100"/>
  <c r="M100"/>
  <c r="L100"/>
  <c r="K100"/>
  <c r="I100"/>
  <c r="H100"/>
  <c r="G100"/>
  <c r="F100"/>
  <c r="E102"/>
  <c r="E103"/>
  <c r="J99"/>
  <c r="J98" s="1"/>
  <c r="E99"/>
  <c r="E98" s="1"/>
  <c r="J97"/>
  <c r="J96"/>
  <c r="E97"/>
  <c r="P97" s="1"/>
  <c r="E96"/>
  <c r="E95"/>
  <c r="E94" s="1"/>
  <c r="J95"/>
  <c r="J94" s="1"/>
  <c r="O94"/>
  <c r="N94"/>
  <c r="M94"/>
  <c r="L94"/>
  <c r="K94"/>
  <c r="I94"/>
  <c r="H94"/>
  <c r="G94"/>
  <c r="F94"/>
  <c r="J93"/>
  <c r="J92" s="1"/>
  <c r="O92"/>
  <c r="N92"/>
  <c r="M92"/>
  <c r="L92"/>
  <c r="K92"/>
  <c r="I92"/>
  <c r="H92"/>
  <c r="G92"/>
  <c r="F92"/>
  <c r="E93"/>
  <c r="E92" s="1"/>
  <c r="J91"/>
  <c r="J90"/>
  <c r="J89" s="1"/>
  <c r="O89"/>
  <c r="N89"/>
  <c r="M89"/>
  <c r="L89"/>
  <c r="K89"/>
  <c r="I89"/>
  <c r="H89"/>
  <c r="G89"/>
  <c r="F89"/>
  <c r="E90"/>
  <c r="E89" s="1"/>
  <c r="E91"/>
  <c r="O87"/>
  <c r="N87"/>
  <c r="J88"/>
  <c r="J87"/>
  <c r="J86" s="1"/>
  <c r="O86"/>
  <c r="N86"/>
  <c r="M86"/>
  <c r="L86"/>
  <c r="K86"/>
  <c r="I86"/>
  <c r="H86"/>
  <c r="G86"/>
  <c r="F86"/>
  <c r="E88"/>
  <c r="E87"/>
  <c r="E86" s="1"/>
  <c r="M84"/>
  <c r="L84"/>
  <c r="K84"/>
  <c r="I84"/>
  <c r="H84"/>
  <c r="G84"/>
  <c r="F84"/>
  <c r="E85"/>
  <c r="E84" s="1"/>
  <c r="O85"/>
  <c r="O84" s="1"/>
  <c r="N85"/>
  <c r="N84" s="1"/>
  <c r="J84" s="1"/>
  <c r="J82"/>
  <c r="E82"/>
  <c r="P82" s="1"/>
  <c r="O83"/>
  <c r="O80" s="1"/>
  <c r="N83"/>
  <c r="J83" s="1"/>
  <c r="J81"/>
  <c r="M80"/>
  <c r="L80"/>
  <c r="K80"/>
  <c r="I80"/>
  <c r="H80"/>
  <c r="G80"/>
  <c r="F80"/>
  <c r="E83"/>
  <c r="E81"/>
  <c r="J78"/>
  <c r="J77" s="1"/>
  <c r="J79"/>
  <c r="O77"/>
  <c r="N77"/>
  <c r="M77"/>
  <c r="L77"/>
  <c r="K77"/>
  <c r="I77"/>
  <c r="H77"/>
  <c r="G77"/>
  <c r="F77"/>
  <c r="E77"/>
  <c r="E78"/>
  <c r="E79"/>
  <c r="P79" s="1"/>
  <c r="J75"/>
  <c r="O76"/>
  <c r="O74" s="1"/>
  <c r="N76"/>
  <c r="N74" s="1"/>
  <c r="M74"/>
  <c r="L74"/>
  <c r="K74"/>
  <c r="I74"/>
  <c r="H74"/>
  <c r="G74"/>
  <c r="F76"/>
  <c r="E76" s="1"/>
  <c r="E75"/>
  <c r="O71"/>
  <c r="N71"/>
  <c r="M71"/>
  <c r="L71"/>
  <c r="K71"/>
  <c r="J72"/>
  <c r="J71" s="1"/>
  <c r="I71"/>
  <c r="H71"/>
  <c r="G71"/>
  <c r="F71"/>
  <c r="E72"/>
  <c r="P72" s="1"/>
  <c r="O68"/>
  <c r="N68"/>
  <c r="M68"/>
  <c r="L68"/>
  <c r="K68"/>
  <c r="I68"/>
  <c r="I65" s="1"/>
  <c r="H68"/>
  <c r="G68"/>
  <c r="F68"/>
  <c r="J70"/>
  <c r="E70"/>
  <c r="J69"/>
  <c r="J68" s="1"/>
  <c r="E69"/>
  <c r="E68" s="1"/>
  <c r="J67"/>
  <c r="J66" s="1"/>
  <c r="F67"/>
  <c r="E67" s="1"/>
  <c r="E66" s="1"/>
  <c r="O107"/>
  <c r="N107"/>
  <c r="M107"/>
  <c r="L107"/>
  <c r="K107"/>
  <c r="I107"/>
  <c r="H107"/>
  <c r="G107"/>
  <c r="F107"/>
  <c r="J108"/>
  <c r="J107" s="1"/>
  <c r="E108"/>
  <c r="P108" s="1"/>
  <c r="I109" l="1"/>
  <c r="E71"/>
  <c r="G65"/>
  <c r="G109" s="1"/>
  <c r="L65"/>
  <c r="L109" s="1"/>
  <c r="J85"/>
  <c r="F66"/>
  <c r="H65"/>
  <c r="H109" s="1"/>
  <c r="M65"/>
  <c r="M109" s="1"/>
  <c r="O65"/>
  <c r="O109" s="1"/>
  <c r="K65"/>
  <c r="K109" s="1"/>
  <c r="E74"/>
  <c r="F74"/>
  <c r="J76"/>
  <c r="E100"/>
  <c r="P102"/>
  <c r="J106"/>
  <c r="F65"/>
  <c r="F109" s="1"/>
  <c r="E107"/>
  <c r="P107" s="1"/>
  <c r="P91"/>
  <c r="E80"/>
  <c r="P96"/>
  <c r="P103"/>
  <c r="P140"/>
  <c r="E152"/>
  <c r="P152" s="1"/>
  <c r="P150"/>
  <c r="N131"/>
  <c r="N175" s="1"/>
  <c r="F131"/>
  <c r="F175" s="1"/>
  <c r="P137"/>
  <c r="J104"/>
  <c r="P88"/>
  <c r="J100"/>
  <c r="P100" s="1"/>
  <c r="P94"/>
  <c r="P95"/>
  <c r="N80"/>
  <c r="N65" s="1"/>
  <c r="N109" s="1"/>
  <c r="J80"/>
  <c r="P81"/>
  <c r="J74"/>
  <c r="P74" s="1"/>
  <c r="P106"/>
  <c r="P105"/>
  <c r="P101"/>
  <c r="P99"/>
  <c r="P98"/>
  <c r="P93"/>
  <c r="P92"/>
  <c r="P90"/>
  <c r="P89"/>
  <c r="P87"/>
  <c r="P86"/>
  <c r="P85"/>
  <c r="P84"/>
  <c r="P83"/>
  <c r="P78"/>
  <c r="P77"/>
  <c r="P76"/>
  <c r="P75"/>
  <c r="P73"/>
  <c r="P71"/>
  <c r="P70"/>
  <c r="P69"/>
  <c r="P68"/>
  <c r="P67"/>
  <c r="P66"/>
  <c r="P80" l="1"/>
  <c r="E65"/>
  <c r="J65"/>
  <c r="J109" s="1"/>
  <c r="E131"/>
  <c r="E175" s="1"/>
  <c r="P175" s="1"/>
  <c r="P10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E109" l="1"/>
  <c r="P65"/>
  <c r="P109"/>
  <c r="P131"/>
</calcChain>
</file>

<file path=xl/sharedStrings.xml><?xml version="1.0" encoding="utf-8"?>
<sst xmlns="http://schemas.openxmlformats.org/spreadsheetml/2006/main" count="2417" uniqueCount="325">
  <si>
    <t>Селище Кирилівка</t>
  </si>
  <si>
    <t>Додаток №3</t>
  </si>
  <si>
    <t>РОЗПОДІЛ</t>
  </si>
  <si>
    <t>видатків місцевий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</si>
  <si>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</si>
  <si>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</si>
  <si>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</si>
  <si>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</si>
  <si>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</si>
  <si>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</si>
  <si>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</si>
  <si>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</si>
  <si>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</si>
  <si>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</si>
  <si>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</si>
  <si>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</si>
  <si>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</si>
  <si>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</si>
  <si>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</si>
  <si>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</si>
  <si>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</si>
  <si>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</si>
  <si>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</si>
  <si>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</si>
  <si>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</si>
  <si>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</si>
  <si>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</si>
  <si>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</si>
  <si>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0921</t>
  </si>
  <si>
    <t>1020</t>
  </si>
  <si>
    <t>Надання загальної середньої освіти загальноосвітніми навчальними закладами,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</si>
  <si>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</si>
  <si>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</si>
  <si>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</si>
  <si>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</si>
  <si>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</si>
  <si>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1090</t>
  </si>
  <si>
    <t>3400</t>
  </si>
  <si>
    <t>Інші видатки на соціальний захист населення</t>
  </si>
  <si>
    <t>4000</t>
  </si>
  <si>
    <t>Культура і мистецтво</t>
  </si>
  <si>
    <t>0824</t>
  </si>
  <si>
    <t>4060</t>
  </si>
  <si>
    <t>Бібліотеки</t>
  </si>
  <si>
    <t>0828</t>
  </si>
  <si>
    <t>4090</t>
  </si>
  <si>
    <t>Палаци і будинки культури, клуби та інші заклади клубного типу</t>
  </si>
  <si>
    <t>5000</t>
  </si>
  <si>
    <t>Фізична культура і спорт</t>
  </si>
  <si>
    <t>0810</t>
  </si>
  <si>
    <t>5023</t>
  </si>
  <si>
    <t>Фінансова підтримка дитячо-юнацьких спортивних шкіл фізкультурно-спортивних товариств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</si>
  <si>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</si>
  <si>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</si>
  <si>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</si>
  <si>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</si>
  <si>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</si>
  <si>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</si>
  <si>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</si>
  <si>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</si>
  <si>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</si>
  <si>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</si>
  <si>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</si>
  <si>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</si>
  <si>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</si>
  <si>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</si>
  <si>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</si>
  <si>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</si>
  <si>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</si>
  <si>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</si>
  <si>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</si>
  <si>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</si>
  <si>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</si>
  <si>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</si>
  <si>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</si>
  <si>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</si>
  <si>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</si>
  <si>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7600</t>
  </si>
  <si>
    <t>Охорона навколишнього природного середовища та ядерна безпека</t>
  </si>
  <si>
    <t>0511</t>
  </si>
  <si>
    <t>7612</t>
  </si>
  <si>
    <t>Охорона і раціональне використання земель</t>
  </si>
  <si>
    <t>8000</t>
  </si>
  <si>
    <t>Видатки, не віднесені до основних груп</t>
  </si>
  <si>
    <t>0133</t>
  </si>
  <si>
    <t>8010</t>
  </si>
  <si>
    <t>Резервний фонд</t>
  </si>
  <si>
    <t>9100</t>
  </si>
  <si>
    <t>Цільові фонди</t>
  </si>
  <si>
    <t>9110</t>
  </si>
  <si>
    <t>Охорона та раціональне використання природних ресурсів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</si>
  <si>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</si>
  <si>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</si>
  <si>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</si>
  <si>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Секретар  ради</t>
  </si>
  <si>
    <t xml:space="preserve"> І.В.Перебийніс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</si>
  <si>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</si>
  <si>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</si>
  <si>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</si>
  <si>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</si>
  <si>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 №1 від 22.12.2016р селищної ради</t>
  </si>
  <si>
    <t>"Про  місцевий   бюджет на 2017 рік"</t>
  </si>
  <si>
    <t>до рішення  №1 від 24.01.2017р селищної ради</t>
  </si>
  <si>
    <t>"03</t>
  </si>
  <si>
    <t>Кирилівська ЗОШ-садок1 ступеня "Золота рибка"</t>
  </si>
  <si>
    <t>1050</t>
  </si>
  <si>
    <t>Організація та проведення громадських робіт</t>
  </si>
  <si>
    <t>в т.ч.ДЮСШ  Азовець</t>
  </si>
  <si>
    <t>Забезпечення функціонування водопровідно-каналізаційного господарства</t>
  </si>
  <si>
    <t>вт.ч. КП Жилкомсервіс</t>
  </si>
  <si>
    <t>в т.ч.САД у Запорізькій області</t>
  </si>
  <si>
    <t>вт.ч. КП Розвиток курортної зони</t>
  </si>
  <si>
    <t>Інші послуги ,повьязані з економічною діяльністю</t>
  </si>
  <si>
    <t>Внески до статутного капіталу субьєктів господарювання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</si>
  <si>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</si>
  <si>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</si>
  <si>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</si>
  <si>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до рішення  №1 від 11.04.2017р селищної ради</t>
  </si>
  <si>
    <t>до рішення  №2 від 16.05.2017р селищної ради</t>
  </si>
  <si>
    <t>Інші  видатки</t>
  </si>
  <si>
    <t>до рішення  №  2   від 13.07.2017р селищної ради</t>
  </si>
  <si>
    <t>0432</t>
  </si>
  <si>
    <t>Завершення проектів газифікації сільських населених пунктів з високим ступенем готовності</t>
  </si>
  <si>
    <t>до рішення  № 1  від 14.09.2017р селищної ради</t>
  </si>
  <si>
    <t>0100000</t>
  </si>
  <si>
    <t>0110000</t>
  </si>
  <si>
    <t>0110150</t>
  </si>
  <si>
    <t>0150</t>
  </si>
  <si>
    <t>0111010</t>
  </si>
  <si>
    <t>0910</t>
  </si>
  <si>
    <t>0111020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</si>
  <si>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</si>
  <si>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дошкільної освіти</t>
  </si>
  <si>
    <t>в тому числі за рахунок освітньої субвенції з державного бюджету місцевим бюджетам</t>
  </si>
  <si>
    <t>вт.ч. Школа-сад " Золота рибка</t>
  </si>
  <si>
    <t>0111162</t>
  </si>
  <si>
    <t>Інші програми та заходи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</si>
  <si>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</si>
  <si>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</si>
  <si>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0113242</t>
  </si>
  <si>
    <t>0114030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</si>
  <si>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</si>
  <si>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</si>
  <si>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0111100</t>
  </si>
  <si>
    <t>0829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</si>
  <si>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</si>
  <si>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0115032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</si>
  <si>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</si>
  <si>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</si>
  <si>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</si>
  <si>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</si>
  <si>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</si>
  <si>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</si>
  <si>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Будівництво та регіональний розвиток</t>
  </si>
  <si>
    <t>0117360</t>
  </si>
  <si>
    <t>0443</t>
  </si>
  <si>
    <t xml:space="preserve"> Виконання інвестиційних проектів за рахунок коштів, які надаються з державного бюджету та інших місцевих бюджетів</t>
  </si>
  <si>
    <t>Транспорт та транспортна інфраструктура, дорожнє господарство</t>
  </si>
  <si>
    <t>0117440</t>
  </si>
  <si>
    <t>Утримання та розвиток транспортної інфраструктури</t>
  </si>
  <si>
    <t>0118410</t>
  </si>
  <si>
    <t>Фінансова підтримка засобів масової інформації</t>
  </si>
  <si>
    <t>Сільське, лісове, рибне господарство та мисливство</t>
  </si>
  <si>
    <t>0117130</t>
  </si>
  <si>
    <t>Здійснення  заходів із землеустрою</t>
  </si>
  <si>
    <t>Інші програми та заходи, пов'язані з економічною діяльністю</t>
  </si>
  <si>
    <t>0117670</t>
  </si>
  <si>
    <t>Внески до статутного капіталу суб’єктів господарювання</t>
  </si>
  <si>
    <t xml:space="preserve">Охорона навколишнього природного середовища </t>
  </si>
  <si>
    <t>0118311</t>
  </si>
  <si>
    <t>0118340</t>
  </si>
  <si>
    <t>0540</t>
  </si>
  <si>
    <t>Природоохоронні заходи за рахунок цільових фондів</t>
  </si>
  <si>
    <t>0119410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</si>
  <si>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</si>
  <si>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видатків бюджету об`єднаної територіальної громади Кирилівської селищної ради на 2018 рік</t>
  </si>
  <si>
    <t>"Про бюджет об`єднаної територіальної громади Кирилівської селищної ради на 2018 рік"</t>
  </si>
  <si>
    <t>Заступник голови з фінансової частини бюджету</t>
  </si>
  <si>
    <t>І.М.Бойко</t>
  </si>
  <si>
    <t>Інші заходи в галузі культури і мистецтва</t>
  </si>
  <si>
    <t>0114082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</si>
  <si>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</si>
  <si>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Кирилівська  селищна  рада</t>
  </si>
  <si>
    <t>до рішеннясесії селищної ради від 21.12.2017 № 2</t>
  </si>
  <si>
    <t>0960</t>
  </si>
  <si>
    <t>0113210</t>
  </si>
  <si>
    <t>0117442</t>
  </si>
  <si>
    <t>0117363</t>
  </si>
  <si>
    <t>Міжбюджетні трансферти</t>
  </si>
  <si>
    <t xml:space="preserve">Інші субвенції з місцевого бюджету 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</si>
  <si>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</t>
  </si>
  <si>
    <t>0117691</t>
  </si>
  <si>
    <t>Додаток № 3
до рішення   від ___02.2018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</si>
  <si>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отг смт Кирилівка</t>
  </si>
  <si>
    <t>РАЗОМ</t>
  </si>
  <si>
    <t>0110190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</si>
  <si>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</si>
  <si>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</si>
  <si>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0110191</t>
  </si>
  <si>
    <t>0191</t>
  </si>
  <si>
    <t>0160</t>
  </si>
  <si>
    <t>Проведення місцевих виборів</t>
  </si>
  <si>
    <t>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</si>
  <si>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</si>
  <si>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</si>
  <si>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0111160</t>
  </si>
  <si>
    <t>1160</t>
  </si>
  <si>
    <t>Інші програми, заклади та заходи у сфері освіти</t>
  </si>
  <si>
    <t>1162</t>
  </si>
  <si>
    <t>3210</t>
  </si>
  <si>
    <t>0113240</t>
  </si>
  <si>
    <t>3240</t>
  </si>
  <si>
    <t>Інші заклади та заходи</t>
  </si>
  <si>
    <t>3242</t>
  </si>
  <si>
    <t>4030</t>
  </si>
  <si>
    <t>0114080</t>
  </si>
  <si>
    <t>4080</t>
  </si>
  <si>
    <t>Інші заклади та заходи в галузі культури і мистецтва</t>
  </si>
  <si>
    <t>4082</t>
  </si>
  <si>
    <t>0115030</t>
  </si>
  <si>
    <t>5030</t>
  </si>
  <si>
    <t>Розвиток дитячо-юнацького та резервного спорту</t>
  </si>
  <si>
    <t>5032</t>
  </si>
  <si>
    <t>0116010</t>
  </si>
  <si>
    <t>6010</t>
  </si>
  <si>
    <t>Утримання та ефективна експлуатація об`єктів житлово-комунального господарства</t>
  </si>
  <si>
    <t>6013</t>
  </si>
  <si>
    <t>6020</t>
  </si>
  <si>
    <t>6030</t>
  </si>
  <si>
    <t>7130</t>
  </si>
  <si>
    <t>Здійснення заходів із землеустрою</t>
  </si>
  <si>
    <t>7360</t>
  </si>
  <si>
    <t>Виконання інвестиційних проектів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</si>
  <si>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</si>
  <si>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</si>
  <si>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7440</t>
  </si>
  <si>
    <t>7442</t>
  </si>
  <si>
    <t>Утримання та розвиток інших об`єктів транспортної інфраструктури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</si>
  <si>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</si>
  <si>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</si>
  <si>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</si>
  <si>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</si>
  <si>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</si>
  <si>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</si>
  <si>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</si>
  <si>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0118310</t>
  </si>
  <si>
    <t>8310</t>
  </si>
  <si>
    <t>Запобігання та ліквідація забруднення навколишнього природного середовища</t>
  </si>
  <si>
    <t>8311</t>
  </si>
  <si>
    <t>8340</t>
  </si>
  <si>
    <t>8410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</si>
  <si>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</si>
  <si>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</si>
  <si>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</si>
  <si>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</si>
  <si>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</si>
  <si>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</si>
  <si>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</si>
  <si>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</si>
  <si>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Заступник селищного голови</t>
  </si>
  <si>
    <t>Додаток № 3
до рішення   від 15.02.2018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</si>
  <si>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Додаток № 3
до рішення   від 17.04.2018 №  8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</si>
  <si>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0110160</t>
  </si>
  <si>
    <t>Керівництво і управління у відповідній сфері у містах(місті Києві),селищах,селах,обьєднаних територіальних громадах</t>
  </si>
  <si>
    <t>0600000</t>
  </si>
  <si>
    <t>0610000</t>
  </si>
  <si>
    <t>Орган з питань освіти і науки</t>
  </si>
  <si>
    <t>Відділ освіти та молоді Кириліської селищної ради</t>
  </si>
  <si>
    <t>0611010</t>
  </si>
  <si>
    <t>0611020</t>
  </si>
  <si>
    <t>0611160</t>
  </si>
  <si>
    <t>0611161</t>
  </si>
  <si>
    <t>0611162</t>
  </si>
  <si>
    <t>Забезпечення діяльності інших закладів у сфері освіти</t>
  </si>
  <si>
    <t>Додаток № 3
до рішення   від 26.06.2018 №   6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</si>
  <si>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Забезпечення діяльності інших закладів у сфері культури і мистецтва</t>
  </si>
  <si>
    <t>вт.ч. КЗ  ЦКДМО</t>
  </si>
  <si>
    <t>Додаток № 3
до рішення   від 17.07.2018 №   9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</si>
  <si>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0112150</t>
  </si>
  <si>
    <t xml:space="preserve">Інші програми, заклади  та заходи у сфері охорони здоровья  </t>
  </si>
  <si>
    <t>0112151</t>
  </si>
  <si>
    <t>0763</t>
  </si>
  <si>
    <t>Забезпечення діяльності інших закладів у сфері охорони здоровья</t>
  </si>
  <si>
    <t>в т.ч. КНП АЗПСМ</t>
  </si>
  <si>
    <t>0119730</t>
  </si>
  <si>
    <t>Субвенція з місцевого бюджета на фінансове забезпечення будівництва, реконструкції,ремонту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</si>
  <si>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0611150</t>
  </si>
  <si>
    <t>Методичне забезпечення діяльності навчальних закладів</t>
  </si>
  <si>
    <t>Додаток № 3
до рішення   від 11.10.2018 №   7 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</si>
  <si>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Код Типової 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</si>
  <si>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</si>
  <si>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</si>
  <si>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або напряму видатків згідно з  ТПКВКМБ </t>
  </si>
  <si>
    <t>Усього</t>
  </si>
  <si>
    <t>у тому числі  бюджет розвитку</t>
  </si>
  <si>
    <t xml:space="preserve">  видатки розвитку</t>
  </si>
  <si>
    <t>видатків місцевого  бюджету об`єднаної територіальної громади Кирилівської селищної ради на 2020 рік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</si>
  <si>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</si>
  <si>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</si>
  <si>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</si>
  <si>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</si>
  <si>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0112145</t>
  </si>
  <si>
    <t>Централізовані заходи з лікування онкологічних хворих</t>
  </si>
  <si>
    <t>0112152</t>
  </si>
  <si>
    <t>Інші програми та заходи у сфері охорони здоров`я</t>
  </si>
  <si>
    <t>0114081</t>
  </si>
  <si>
    <t>вт.ч. КП РКЗ</t>
  </si>
  <si>
    <t>0117650</t>
  </si>
  <si>
    <t>Проведення експертної грошової оцінки земельної ділянки чи права на неї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</si>
  <si>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</si>
  <si>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</si>
  <si>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0117693</t>
  </si>
  <si>
    <t>Інші заходи, пов`язані з економічною діяльністю</t>
  </si>
  <si>
    <t>Заступник селищного голови з фінансової частини бюджету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</si>
  <si>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</si>
  <si>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</si>
  <si>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№ 3
до рішення   від 20.12.2019 №  33    "Про  бюджет  об`єднаної  територіальної громади Кирилівської селищної ради  на 2020 рік"</t>
  </si>
  <si>
    <t>Додаток № 3
до рішення   від 06.02.2020р №7 " Про внесення змін та доповнень до рішення сесії  від 20.12.2019 №  33    "Про  бюджет  об`єднаної  територіальної громади Кирилівської селищної ради  на 2020 рік"</t>
  </si>
  <si>
    <t>0117350</t>
  </si>
  <si>
    <t>Розроблення схем планування  та забудови території ( містобудівної документації)</t>
  </si>
  <si>
    <t>вт.ч. ГО  Кирилівка курорт</t>
  </si>
  <si>
    <t>(код бюджету)</t>
  </si>
  <si>
    <t>08532000000</t>
  </si>
  <si>
    <t>Забезпечення діяльності інших закладів галузі культури і мистецтва</t>
  </si>
  <si>
    <t>вт.ч. ГО  Надія  Охрімівки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</si>
</sst>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0" fillId="2" borderId="3" xfId="0" applyNumberForma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justify" wrapText="1"/>
    </xf>
    <xf numFmtId="2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2" borderId="1" xfId="0" quotePrefix="1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5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2" fontId="1" fillId="4" borderId="1" xfId="0" quotePrefix="1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2"/>
  <sheetViews>
    <sheetView tabSelected="1" topLeftCell="A965" workbookViewId="0">
      <selection activeCell="A884" sqref="A884:XFD964"/>
    </sheetView>
  </sheetViews>
  <sheetFormatPr defaultRowHeight="12.75"/>
  <cols>
    <col min="1" max="3" width="12" customWidth="1"/>
    <col min="4" max="4" width="40.7109375" customWidth="1"/>
    <col min="5" max="5" width="13.5703125" customWidth="1"/>
    <col min="6" max="6" width="12.5703125" customWidth="1"/>
    <col min="7" max="15" width="11.5703125" customWidth="1"/>
    <col min="16" max="16" width="15" customWidth="1"/>
  </cols>
  <sheetData>
    <row r="1" spans="1:16" hidden="1">
      <c r="A1" t="s">
        <v>0</v>
      </c>
      <c r="M1" t="s">
        <v>1</v>
      </c>
    </row>
    <row r="2" spans="1:16" hidden="1">
      <c r="M2" t="s">
        <v>100</v>
      </c>
    </row>
    <row r="3" spans="1:16" hidden="1">
      <c r="M3" t="s">
        <v>101</v>
      </c>
    </row>
    <row r="4" spans="1:16" hidden="1"/>
    <row r="5" spans="1:16" hidden="1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idden="1">
      <c r="A6" s="92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idden="1">
      <c r="P7" s="1" t="s">
        <v>4</v>
      </c>
    </row>
    <row r="8" spans="1:16" hidden="1">
      <c r="A8" s="94" t="s">
        <v>5</v>
      </c>
      <c r="B8" s="94" t="s">
        <v>6</v>
      </c>
      <c r="C8" s="94" t="s">
        <v>7</v>
      </c>
      <c r="D8" s="95" t="s">
        <v>8</v>
      </c>
      <c r="E8" s="95" t="s">
        <v>9</v>
      </c>
      <c r="F8" s="95"/>
      <c r="G8" s="95"/>
      <c r="H8" s="95"/>
      <c r="I8" s="95"/>
      <c r="J8" s="95" t="s">
        <v>16</v>
      </c>
      <c r="K8" s="95"/>
      <c r="L8" s="95"/>
      <c r="M8" s="95"/>
      <c r="N8" s="95"/>
      <c r="O8" s="95"/>
      <c r="P8" s="96" t="s">
        <v>18</v>
      </c>
    </row>
    <row r="9" spans="1:16" hidden="1">
      <c r="A9" s="95"/>
      <c r="B9" s="95"/>
      <c r="C9" s="95"/>
      <c r="D9" s="95"/>
      <c r="E9" s="96" t="s">
        <v>10</v>
      </c>
      <c r="F9" s="95" t="s">
        <v>11</v>
      </c>
      <c r="G9" s="95" t="s">
        <v>12</v>
      </c>
      <c r="H9" s="95"/>
      <c r="I9" s="95" t="s">
        <v>15</v>
      </c>
      <c r="J9" s="96" t="s">
        <v>10</v>
      </c>
      <c r="K9" s="95" t="s">
        <v>11</v>
      </c>
      <c r="L9" s="95" t="s">
        <v>12</v>
      </c>
      <c r="M9" s="95"/>
      <c r="N9" s="95" t="s">
        <v>15</v>
      </c>
      <c r="O9" s="4" t="s">
        <v>12</v>
      </c>
      <c r="P9" s="95"/>
    </row>
    <row r="10" spans="1:16" hidden="1">
      <c r="A10" s="95"/>
      <c r="B10" s="95"/>
      <c r="C10" s="95"/>
      <c r="D10" s="95"/>
      <c r="E10" s="95"/>
      <c r="F10" s="95"/>
      <c r="G10" s="95" t="s">
        <v>13</v>
      </c>
      <c r="H10" s="95" t="s">
        <v>14</v>
      </c>
      <c r="I10" s="95"/>
      <c r="J10" s="95"/>
      <c r="K10" s="95"/>
      <c r="L10" s="95" t="s">
        <v>13</v>
      </c>
      <c r="M10" s="95" t="s">
        <v>14</v>
      </c>
      <c r="N10" s="95"/>
      <c r="O10" s="95" t="s">
        <v>17</v>
      </c>
      <c r="P10" s="95"/>
    </row>
    <row r="11" spans="1:16" ht="44.25" hidden="1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hidden="1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76.5" hidden="1">
      <c r="A13" s="6" t="s">
        <v>19</v>
      </c>
      <c r="B13" s="7"/>
      <c r="C13" s="8"/>
      <c r="D13" s="9" t="s">
        <v>20</v>
      </c>
      <c r="E13" s="10">
        <v>24595701</v>
      </c>
      <c r="F13" s="11">
        <v>24505701</v>
      </c>
      <c r="G13" s="11">
        <v>7849645</v>
      </c>
      <c r="H13" s="11">
        <v>2613701</v>
      </c>
      <c r="I13" s="11">
        <v>0</v>
      </c>
      <c r="J13" s="10">
        <v>7727392</v>
      </c>
      <c r="K13" s="11">
        <v>743692</v>
      </c>
      <c r="L13" s="11">
        <v>0</v>
      </c>
      <c r="M13" s="11">
        <v>0</v>
      </c>
      <c r="N13" s="11">
        <v>6983700</v>
      </c>
      <c r="O13" s="11">
        <v>5483700</v>
      </c>
      <c r="P13" s="10">
        <f t="shared" ref="P13:P43" si="0">E13+J13</f>
        <v>32323093</v>
      </c>
    </row>
    <row r="14" spans="1:16" hidden="1">
      <c r="A14" s="7"/>
      <c r="B14" s="6" t="s">
        <v>21</v>
      </c>
      <c r="C14" s="8"/>
      <c r="D14" s="11" t="s">
        <v>22</v>
      </c>
      <c r="E14" s="10">
        <v>5623415</v>
      </c>
      <c r="F14" s="11">
        <v>5623415</v>
      </c>
      <c r="G14" s="11">
        <v>3049930</v>
      </c>
      <c r="H14" s="11">
        <v>548500</v>
      </c>
      <c r="I14" s="11">
        <v>0</v>
      </c>
      <c r="J14" s="10">
        <v>85000</v>
      </c>
      <c r="K14" s="11">
        <v>35000</v>
      </c>
      <c r="L14" s="11">
        <v>0</v>
      </c>
      <c r="M14" s="11">
        <v>0</v>
      </c>
      <c r="N14" s="11">
        <v>50000</v>
      </c>
      <c r="O14" s="11">
        <v>50000</v>
      </c>
      <c r="P14" s="10">
        <f t="shared" si="0"/>
        <v>5708415</v>
      </c>
    </row>
    <row r="15" spans="1:16" ht="63.75" hidden="1">
      <c r="A15" s="4"/>
      <c r="B15" s="12" t="s">
        <v>24</v>
      </c>
      <c r="C15" s="13" t="s">
        <v>23</v>
      </c>
      <c r="D15" s="14" t="s">
        <v>25</v>
      </c>
      <c r="E15" s="15">
        <v>5623415</v>
      </c>
      <c r="F15" s="14">
        <v>5623415</v>
      </c>
      <c r="G15" s="14">
        <v>3049930</v>
      </c>
      <c r="H15" s="14">
        <v>548500</v>
      </c>
      <c r="I15" s="14">
        <v>0</v>
      </c>
      <c r="J15" s="15">
        <v>85000</v>
      </c>
      <c r="K15" s="14">
        <v>35000</v>
      </c>
      <c r="L15" s="14">
        <v>0</v>
      </c>
      <c r="M15" s="14">
        <v>0</v>
      </c>
      <c r="N15" s="14">
        <v>50000</v>
      </c>
      <c r="O15" s="14">
        <v>50000</v>
      </c>
      <c r="P15" s="15">
        <f t="shared" si="0"/>
        <v>5708415</v>
      </c>
    </row>
    <row r="16" spans="1:16" hidden="1">
      <c r="A16" s="7"/>
      <c r="B16" s="6" t="s">
        <v>26</v>
      </c>
      <c r="C16" s="8"/>
      <c r="D16" s="11" t="s">
        <v>27</v>
      </c>
      <c r="E16" s="10">
        <v>5296425</v>
      </c>
      <c r="F16" s="11">
        <v>5296425</v>
      </c>
      <c r="G16" s="11">
        <v>2724259</v>
      </c>
      <c r="H16" s="11">
        <v>719697</v>
      </c>
      <c r="I16" s="11">
        <v>0</v>
      </c>
      <c r="J16" s="10">
        <v>1000692</v>
      </c>
      <c r="K16" s="11">
        <v>185692</v>
      </c>
      <c r="L16" s="11">
        <v>0</v>
      </c>
      <c r="M16" s="11">
        <v>0</v>
      </c>
      <c r="N16" s="11">
        <v>815000</v>
      </c>
      <c r="O16" s="11">
        <v>815000</v>
      </c>
      <c r="P16" s="10">
        <f t="shared" si="0"/>
        <v>6297117</v>
      </c>
    </row>
    <row r="17" spans="1:16" ht="51" hidden="1">
      <c r="A17" s="4"/>
      <c r="B17" s="12" t="s">
        <v>29</v>
      </c>
      <c r="C17" s="13" t="s">
        <v>28</v>
      </c>
      <c r="D17" s="14" t="s">
        <v>30</v>
      </c>
      <c r="E17" s="15">
        <v>4956425</v>
      </c>
      <c r="F17" s="14">
        <v>4956425</v>
      </c>
      <c r="G17" s="14">
        <v>2724259</v>
      </c>
      <c r="H17" s="14">
        <v>719697</v>
      </c>
      <c r="I17" s="14">
        <v>0</v>
      </c>
      <c r="J17" s="15">
        <v>1000692</v>
      </c>
      <c r="K17" s="14">
        <v>185692</v>
      </c>
      <c r="L17" s="14">
        <v>0</v>
      </c>
      <c r="M17" s="14">
        <v>0</v>
      </c>
      <c r="N17" s="14">
        <v>815000</v>
      </c>
      <c r="O17" s="14">
        <v>815000</v>
      </c>
      <c r="P17" s="15">
        <f t="shared" si="0"/>
        <v>5957117</v>
      </c>
    </row>
    <row r="18" spans="1:16" hidden="1">
      <c r="A18" s="4"/>
      <c r="B18" s="12" t="s">
        <v>32</v>
      </c>
      <c r="C18" s="13" t="s">
        <v>31</v>
      </c>
      <c r="D18" s="14" t="s">
        <v>33</v>
      </c>
      <c r="E18" s="15">
        <v>340000</v>
      </c>
      <c r="F18" s="14">
        <v>340000</v>
      </c>
      <c r="G18" s="14">
        <v>0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340000</v>
      </c>
    </row>
    <row r="19" spans="1:16" hidden="1">
      <c r="A19" s="7"/>
      <c r="B19" s="6" t="s">
        <v>34</v>
      </c>
      <c r="C19" s="8"/>
      <c r="D19" s="11" t="s">
        <v>35</v>
      </c>
      <c r="E19" s="10">
        <v>781000</v>
      </c>
      <c r="F19" s="11">
        <v>781000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781000</v>
      </c>
    </row>
    <row r="20" spans="1:16" hidden="1">
      <c r="A20" s="4"/>
      <c r="B20" s="12" t="s">
        <v>37</v>
      </c>
      <c r="C20" s="13" t="s">
        <v>36</v>
      </c>
      <c r="D20" s="14" t="s">
        <v>38</v>
      </c>
      <c r="E20" s="15">
        <v>781000</v>
      </c>
      <c r="F20" s="14">
        <v>781000</v>
      </c>
      <c r="G20" s="14">
        <v>0</v>
      </c>
      <c r="H20" s="14">
        <v>0</v>
      </c>
      <c r="I20" s="14">
        <v>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781000</v>
      </c>
    </row>
    <row r="21" spans="1:16" hidden="1">
      <c r="A21" s="7"/>
      <c r="B21" s="6" t="s">
        <v>39</v>
      </c>
      <c r="C21" s="8"/>
      <c r="D21" s="11" t="s">
        <v>40</v>
      </c>
      <c r="E21" s="10">
        <v>4197561</v>
      </c>
      <c r="F21" s="11">
        <v>4197561</v>
      </c>
      <c r="G21" s="11">
        <v>2075456</v>
      </c>
      <c r="H21" s="11">
        <v>770504</v>
      </c>
      <c r="I21" s="11">
        <v>0</v>
      </c>
      <c r="J21" s="10">
        <v>50000</v>
      </c>
      <c r="K21" s="11">
        <v>5000</v>
      </c>
      <c r="L21" s="11">
        <v>0</v>
      </c>
      <c r="M21" s="11">
        <v>0</v>
      </c>
      <c r="N21" s="11">
        <v>45000</v>
      </c>
      <c r="O21" s="11">
        <v>45000</v>
      </c>
      <c r="P21" s="10">
        <f t="shared" si="0"/>
        <v>4247561</v>
      </c>
    </row>
    <row r="22" spans="1:16" hidden="1">
      <c r="A22" s="4"/>
      <c r="B22" s="12" t="s">
        <v>42</v>
      </c>
      <c r="C22" s="13" t="s">
        <v>41</v>
      </c>
      <c r="D22" s="14" t="s">
        <v>43</v>
      </c>
      <c r="E22" s="15">
        <v>244486</v>
      </c>
      <c r="F22" s="14">
        <v>244486</v>
      </c>
      <c r="G22" s="14">
        <v>195480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244486</v>
      </c>
    </row>
    <row r="23" spans="1:16" ht="25.5" hidden="1">
      <c r="A23" s="4"/>
      <c r="B23" s="12" t="s">
        <v>45</v>
      </c>
      <c r="C23" s="13" t="s">
        <v>44</v>
      </c>
      <c r="D23" s="14" t="s">
        <v>46</v>
      </c>
      <c r="E23" s="15">
        <v>3953075</v>
      </c>
      <c r="F23" s="14">
        <v>3953075</v>
      </c>
      <c r="G23" s="14">
        <v>1879976</v>
      </c>
      <c r="H23" s="14">
        <v>770504</v>
      </c>
      <c r="I23" s="14">
        <v>0</v>
      </c>
      <c r="J23" s="15">
        <v>50000</v>
      </c>
      <c r="K23" s="14">
        <v>5000</v>
      </c>
      <c r="L23" s="14">
        <v>0</v>
      </c>
      <c r="M23" s="14">
        <v>0</v>
      </c>
      <c r="N23" s="14">
        <v>45000</v>
      </c>
      <c r="O23" s="14">
        <v>45000</v>
      </c>
      <c r="P23" s="15">
        <f t="shared" si="0"/>
        <v>4003075</v>
      </c>
    </row>
    <row r="24" spans="1:16" hidden="1">
      <c r="A24" s="7"/>
      <c r="B24" s="6" t="s">
        <v>47</v>
      </c>
      <c r="C24" s="8"/>
      <c r="D24" s="11" t="s">
        <v>48</v>
      </c>
      <c r="E24" s="10">
        <v>2578300</v>
      </c>
      <c r="F24" s="11">
        <v>2578300</v>
      </c>
      <c r="G24" s="11">
        <v>0</v>
      </c>
      <c r="H24" s="11">
        <v>0</v>
      </c>
      <c r="I24" s="11">
        <v>0</v>
      </c>
      <c r="J24" s="10">
        <v>873700</v>
      </c>
      <c r="K24" s="11">
        <v>0</v>
      </c>
      <c r="L24" s="11">
        <v>0</v>
      </c>
      <c r="M24" s="11">
        <v>0</v>
      </c>
      <c r="N24" s="11">
        <v>873700</v>
      </c>
      <c r="O24" s="11">
        <v>873700</v>
      </c>
      <c r="P24" s="10">
        <f t="shared" si="0"/>
        <v>3452000</v>
      </c>
    </row>
    <row r="25" spans="1:16" ht="38.25" hidden="1">
      <c r="A25" s="4"/>
      <c r="B25" s="12" t="s">
        <v>50</v>
      </c>
      <c r="C25" s="13" t="s">
        <v>49</v>
      </c>
      <c r="D25" s="14" t="s">
        <v>51</v>
      </c>
      <c r="E25" s="15">
        <v>2578300</v>
      </c>
      <c r="F25" s="14">
        <v>2578300</v>
      </c>
      <c r="G25" s="14">
        <v>0</v>
      </c>
      <c r="H25" s="14">
        <v>0</v>
      </c>
      <c r="I25" s="14">
        <v>0</v>
      </c>
      <c r="J25" s="15">
        <v>873700</v>
      </c>
      <c r="K25" s="14">
        <v>0</v>
      </c>
      <c r="L25" s="14">
        <v>0</v>
      </c>
      <c r="M25" s="14">
        <v>0</v>
      </c>
      <c r="N25" s="14">
        <v>873700</v>
      </c>
      <c r="O25" s="14">
        <v>873700</v>
      </c>
      <c r="P25" s="15">
        <f t="shared" si="0"/>
        <v>3452000</v>
      </c>
    </row>
    <row r="26" spans="1:16" hidden="1">
      <c r="A26" s="7"/>
      <c r="B26" s="6" t="s">
        <v>52</v>
      </c>
      <c r="C26" s="8"/>
      <c r="D26" s="11" t="s">
        <v>53</v>
      </c>
      <c r="E26" s="10">
        <v>5429000</v>
      </c>
      <c r="F26" s="11">
        <v>5429000</v>
      </c>
      <c r="G26" s="11">
        <v>0</v>
      </c>
      <c r="H26" s="11">
        <v>575000</v>
      </c>
      <c r="I26" s="11">
        <v>0</v>
      </c>
      <c r="J26" s="10">
        <v>200000</v>
      </c>
      <c r="K26" s="11">
        <v>0</v>
      </c>
      <c r="L26" s="11">
        <v>0</v>
      </c>
      <c r="M26" s="11">
        <v>0</v>
      </c>
      <c r="N26" s="11">
        <v>200000</v>
      </c>
      <c r="O26" s="11">
        <v>200000</v>
      </c>
      <c r="P26" s="10">
        <f t="shared" si="0"/>
        <v>5629000</v>
      </c>
    </row>
    <row r="27" spans="1:16" hidden="1">
      <c r="A27" s="4"/>
      <c r="B27" s="12" t="s">
        <v>55</v>
      </c>
      <c r="C27" s="13" t="s">
        <v>54</v>
      </c>
      <c r="D27" s="14" t="s">
        <v>56</v>
      </c>
      <c r="E27" s="15">
        <v>5429000</v>
      </c>
      <c r="F27" s="14">
        <v>5429000</v>
      </c>
      <c r="G27" s="14">
        <v>0</v>
      </c>
      <c r="H27" s="14">
        <v>575000</v>
      </c>
      <c r="I27" s="14">
        <v>0</v>
      </c>
      <c r="J27" s="15">
        <v>200000</v>
      </c>
      <c r="K27" s="14">
        <v>0</v>
      </c>
      <c r="L27" s="14">
        <v>0</v>
      </c>
      <c r="M27" s="14">
        <v>0</v>
      </c>
      <c r="N27" s="14">
        <v>200000</v>
      </c>
      <c r="O27" s="14">
        <v>200000</v>
      </c>
      <c r="P27" s="15">
        <f t="shared" si="0"/>
        <v>5629000</v>
      </c>
    </row>
    <row r="28" spans="1:16" hidden="1">
      <c r="A28" s="7"/>
      <c r="B28" s="6" t="s">
        <v>57</v>
      </c>
      <c r="C28" s="8"/>
      <c r="D28" s="11" t="s">
        <v>58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2000000</v>
      </c>
      <c r="K28" s="11">
        <v>0</v>
      </c>
      <c r="L28" s="11">
        <v>0</v>
      </c>
      <c r="M28" s="11">
        <v>0</v>
      </c>
      <c r="N28" s="11">
        <v>2000000</v>
      </c>
      <c r="O28" s="11">
        <v>2000000</v>
      </c>
      <c r="P28" s="10">
        <f t="shared" si="0"/>
        <v>2000000</v>
      </c>
    </row>
    <row r="29" spans="1:16" ht="25.5" hidden="1">
      <c r="A29" s="4"/>
      <c r="B29" s="12" t="s">
        <v>60</v>
      </c>
      <c r="C29" s="13" t="s">
        <v>59</v>
      </c>
      <c r="D29" s="14" t="s">
        <v>61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2000000</v>
      </c>
      <c r="K29" s="14">
        <v>0</v>
      </c>
      <c r="L29" s="14">
        <v>0</v>
      </c>
      <c r="M29" s="14">
        <v>0</v>
      </c>
      <c r="N29" s="14">
        <v>2000000</v>
      </c>
      <c r="O29" s="14">
        <v>2000000</v>
      </c>
      <c r="P29" s="15">
        <f t="shared" si="0"/>
        <v>2000000</v>
      </c>
    </row>
    <row r="30" spans="1:16" ht="25.5" hidden="1">
      <c r="A30" s="7"/>
      <c r="B30" s="6" t="s">
        <v>62</v>
      </c>
      <c r="C30" s="8"/>
      <c r="D30" s="11" t="s">
        <v>63</v>
      </c>
      <c r="E30" s="10">
        <v>300000</v>
      </c>
      <c r="F30" s="11">
        <v>300000</v>
      </c>
      <c r="G30" s="11">
        <v>0</v>
      </c>
      <c r="H30" s="11">
        <v>0</v>
      </c>
      <c r="I30" s="11">
        <v>0</v>
      </c>
      <c r="J30" s="10">
        <v>1000000</v>
      </c>
      <c r="K30" s="11">
        <v>0</v>
      </c>
      <c r="L30" s="11">
        <v>0</v>
      </c>
      <c r="M30" s="11">
        <v>0</v>
      </c>
      <c r="N30" s="11">
        <v>1000000</v>
      </c>
      <c r="O30" s="11">
        <v>1000000</v>
      </c>
      <c r="P30" s="10">
        <f t="shared" si="0"/>
        <v>1300000</v>
      </c>
    </row>
    <row r="31" spans="1:16" hidden="1">
      <c r="A31" s="4"/>
      <c r="B31" s="12" t="s">
        <v>65</v>
      </c>
      <c r="C31" s="13" t="s">
        <v>64</v>
      </c>
      <c r="D31" s="14" t="s">
        <v>66</v>
      </c>
      <c r="E31" s="15">
        <v>300000</v>
      </c>
      <c r="F31" s="14">
        <v>300000</v>
      </c>
      <c r="G31" s="14">
        <v>0</v>
      </c>
      <c r="H31" s="14">
        <v>0</v>
      </c>
      <c r="I31" s="14">
        <v>0</v>
      </c>
      <c r="J31" s="15">
        <v>1000000</v>
      </c>
      <c r="K31" s="14">
        <v>0</v>
      </c>
      <c r="L31" s="14">
        <v>0</v>
      </c>
      <c r="M31" s="14">
        <v>0</v>
      </c>
      <c r="N31" s="14">
        <v>1000000</v>
      </c>
      <c r="O31" s="14">
        <v>1000000</v>
      </c>
      <c r="P31" s="15">
        <f t="shared" si="0"/>
        <v>1300000</v>
      </c>
    </row>
    <row r="32" spans="1:16" hidden="1">
      <c r="A32" s="7"/>
      <c r="B32" s="6" t="s">
        <v>67</v>
      </c>
      <c r="C32" s="8"/>
      <c r="D32" s="11" t="s">
        <v>68</v>
      </c>
      <c r="E32" s="10">
        <v>200000</v>
      </c>
      <c r="F32" s="11">
        <v>200000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200000</v>
      </c>
    </row>
    <row r="33" spans="1:16" ht="25.5" hidden="1">
      <c r="A33" s="4"/>
      <c r="B33" s="12" t="s">
        <v>70</v>
      </c>
      <c r="C33" s="13" t="s">
        <v>69</v>
      </c>
      <c r="D33" s="14" t="s">
        <v>71</v>
      </c>
      <c r="E33" s="15">
        <v>200000</v>
      </c>
      <c r="F33" s="14">
        <v>200000</v>
      </c>
      <c r="G33" s="14">
        <v>0</v>
      </c>
      <c r="H33" s="14">
        <v>0</v>
      </c>
      <c r="I33" s="14">
        <v>0</v>
      </c>
      <c r="J33" s="15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200000</v>
      </c>
    </row>
    <row r="34" spans="1:16" ht="25.5" hidden="1">
      <c r="A34" s="7"/>
      <c r="B34" s="6" t="s">
        <v>72</v>
      </c>
      <c r="C34" s="8"/>
      <c r="D34" s="11" t="s">
        <v>73</v>
      </c>
      <c r="E34" s="10">
        <v>100000</v>
      </c>
      <c r="F34" s="11">
        <v>100000</v>
      </c>
      <c r="G34" s="11">
        <v>0</v>
      </c>
      <c r="H34" s="11">
        <v>0</v>
      </c>
      <c r="I34" s="11">
        <v>0</v>
      </c>
      <c r="J34" s="10">
        <v>500000</v>
      </c>
      <c r="K34" s="11">
        <v>0</v>
      </c>
      <c r="L34" s="11">
        <v>0</v>
      </c>
      <c r="M34" s="11">
        <v>0</v>
      </c>
      <c r="N34" s="11">
        <v>500000</v>
      </c>
      <c r="O34" s="11">
        <v>500000</v>
      </c>
      <c r="P34" s="10">
        <f t="shared" si="0"/>
        <v>600000</v>
      </c>
    </row>
    <row r="35" spans="1:16" hidden="1">
      <c r="A35" s="4"/>
      <c r="B35" s="12" t="s">
        <v>75</v>
      </c>
      <c r="C35" s="13" t="s">
        <v>74</v>
      </c>
      <c r="D35" s="14" t="s">
        <v>76</v>
      </c>
      <c r="E35" s="15">
        <v>100000</v>
      </c>
      <c r="F35" s="14">
        <v>100000</v>
      </c>
      <c r="G35" s="14">
        <v>0</v>
      </c>
      <c r="H35" s="14">
        <v>0</v>
      </c>
      <c r="I35" s="14">
        <v>0</v>
      </c>
      <c r="J35" s="15">
        <v>500000</v>
      </c>
      <c r="K35" s="14">
        <v>0</v>
      </c>
      <c r="L35" s="14">
        <v>0</v>
      </c>
      <c r="M35" s="14">
        <v>0</v>
      </c>
      <c r="N35" s="14">
        <v>500000</v>
      </c>
      <c r="O35" s="14">
        <v>500000</v>
      </c>
      <c r="P35" s="15">
        <f t="shared" si="0"/>
        <v>600000</v>
      </c>
    </row>
    <row r="36" spans="1:16" ht="25.5" hidden="1">
      <c r="A36" s="7"/>
      <c r="B36" s="6" t="s">
        <v>77</v>
      </c>
      <c r="C36" s="8"/>
      <c r="D36" s="11" t="s">
        <v>78</v>
      </c>
      <c r="E36" s="10">
        <v>0</v>
      </c>
      <c r="F36" s="11">
        <v>0</v>
      </c>
      <c r="G36" s="11">
        <v>0</v>
      </c>
      <c r="H36" s="11">
        <v>0</v>
      </c>
      <c r="I36" s="11">
        <v>0</v>
      </c>
      <c r="J36" s="10">
        <v>5000</v>
      </c>
      <c r="K36" s="11">
        <v>5000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5000</v>
      </c>
    </row>
    <row r="37" spans="1:16" hidden="1">
      <c r="A37" s="4"/>
      <c r="B37" s="12" t="s">
        <v>80</v>
      </c>
      <c r="C37" s="13" t="s">
        <v>79</v>
      </c>
      <c r="D37" s="14" t="s">
        <v>81</v>
      </c>
      <c r="E37" s="15">
        <v>0</v>
      </c>
      <c r="F37" s="14">
        <v>0</v>
      </c>
      <c r="G37" s="14">
        <v>0</v>
      </c>
      <c r="H37" s="14">
        <v>0</v>
      </c>
      <c r="I37" s="14">
        <v>0</v>
      </c>
      <c r="J37" s="15">
        <v>5000</v>
      </c>
      <c r="K37" s="14">
        <v>5000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5000</v>
      </c>
    </row>
    <row r="38" spans="1:16" hidden="1">
      <c r="A38" s="7"/>
      <c r="B38" s="6" t="s">
        <v>82</v>
      </c>
      <c r="C38" s="8"/>
      <c r="D38" s="11" t="s">
        <v>83</v>
      </c>
      <c r="E38" s="10">
        <v>90000</v>
      </c>
      <c r="F38" s="11">
        <v>0</v>
      </c>
      <c r="G38" s="11">
        <v>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90000</v>
      </c>
    </row>
    <row r="39" spans="1:16" hidden="1">
      <c r="A39" s="4"/>
      <c r="B39" s="12" t="s">
        <v>85</v>
      </c>
      <c r="C39" s="13" t="s">
        <v>84</v>
      </c>
      <c r="D39" s="14" t="s">
        <v>86</v>
      </c>
      <c r="E39" s="15">
        <v>90000</v>
      </c>
      <c r="F39" s="14">
        <v>0</v>
      </c>
      <c r="G39" s="14">
        <v>0</v>
      </c>
      <c r="H39" s="14">
        <v>0</v>
      </c>
      <c r="I39" s="14">
        <v>0</v>
      </c>
      <c r="J39" s="15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90000</v>
      </c>
    </row>
    <row r="40" spans="1:16" hidden="1">
      <c r="A40" s="7"/>
      <c r="B40" s="6" t="s">
        <v>87</v>
      </c>
      <c r="C40" s="8"/>
      <c r="D40" s="11" t="s">
        <v>88</v>
      </c>
      <c r="E40" s="10">
        <v>0</v>
      </c>
      <c r="F40" s="11">
        <v>0</v>
      </c>
      <c r="G40" s="11">
        <v>0</v>
      </c>
      <c r="H40" s="11">
        <v>0</v>
      </c>
      <c r="I40" s="11">
        <v>0</v>
      </c>
      <c r="J40" s="10">
        <v>2013000</v>
      </c>
      <c r="K40" s="11">
        <v>513000</v>
      </c>
      <c r="L40" s="11">
        <v>0</v>
      </c>
      <c r="M40" s="11">
        <v>0</v>
      </c>
      <c r="N40" s="11">
        <v>1500000</v>
      </c>
      <c r="O40" s="11">
        <v>0</v>
      </c>
      <c r="P40" s="10">
        <f t="shared" si="0"/>
        <v>2013000</v>
      </c>
    </row>
    <row r="41" spans="1:16" ht="25.5" hidden="1">
      <c r="A41" s="4"/>
      <c r="B41" s="12" t="s">
        <v>89</v>
      </c>
      <c r="C41" s="13" t="s">
        <v>79</v>
      </c>
      <c r="D41" s="14" t="s">
        <v>90</v>
      </c>
      <c r="E41" s="15">
        <v>0</v>
      </c>
      <c r="F41" s="14">
        <v>0</v>
      </c>
      <c r="G41" s="14">
        <v>0</v>
      </c>
      <c r="H41" s="14">
        <v>0</v>
      </c>
      <c r="I41" s="14">
        <v>0</v>
      </c>
      <c r="J41" s="15">
        <v>513000</v>
      </c>
      <c r="K41" s="14">
        <v>513000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513000</v>
      </c>
    </row>
    <row r="42" spans="1:16" ht="51" hidden="1">
      <c r="A42" s="4"/>
      <c r="B42" s="12" t="s">
        <v>91</v>
      </c>
      <c r="C42" s="13" t="s">
        <v>84</v>
      </c>
      <c r="D42" s="14" t="s">
        <v>92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5">
        <v>1500000</v>
      </c>
      <c r="K42" s="14">
        <v>0</v>
      </c>
      <c r="L42" s="14">
        <v>0</v>
      </c>
      <c r="M42" s="14">
        <v>0</v>
      </c>
      <c r="N42" s="14">
        <v>1500000</v>
      </c>
      <c r="O42" s="14">
        <v>0</v>
      </c>
      <c r="P42" s="15">
        <f t="shared" si="0"/>
        <v>1500000</v>
      </c>
    </row>
    <row r="43" spans="1:16" hidden="1">
      <c r="A43" s="16"/>
      <c r="B43" s="17" t="s">
        <v>93</v>
      </c>
      <c r="C43" s="18"/>
      <c r="D43" s="19" t="s">
        <v>10</v>
      </c>
      <c r="E43" s="10">
        <v>24595701</v>
      </c>
      <c r="F43" s="10">
        <v>24505701</v>
      </c>
      <c r="G43" s="10">
        <v>7849645</v>
      </c>
      <c r="H43" s="10">
        <v>2613701</v>
      </c>
      <c r="I43" s="10">
        <v>0</v>
      </c>
      <c r="J43" s="10">
        <v>7727392</v>
      </c>
      <c r="K43" s="10">
        <v>743692</v>
      </c>
      <c r="L43" s="10">
        <v>0</v>
      </c>
      <c r="M43" s="10">
        <v>0</v>
      </c>
      <c r="N43" s="10">
        <v>6983700</v>
      </c>
      <c r="O43" s="10">
        <v>5483700</v>
      </c>
      <c r="P43" s="10">
        <f t="shared" si="0"/>
        <v>32323093</v>
      </c>
    </row>
    <row r="44" spans="1:16" hidden="1"/>
    <row r="45" spans="1:16" hidden="1"/>
    <row r="46" spans="1:16" hidden="1">
      <c r="B46" s="2" t="s">
        <v>94</v>
      </c>
      <c r="I46" s="2" t="s">
        <v>95</v>
      </c>
    </row>
    <row r="47" spans="1:16" hidden="1"/>
    <row r="48" spans="1:16" hidden="1"/>
    <row r="49" spans="1:16" hidden="1">
      <c r="A49" s="3" t="s">
        <v>96</v>
      </c>
    </row>
    <row r="50" spans="1:16" hidden="1">
      <c r="A50" s="3" t="s">
        <v>97</v>
      </c>
    </row>
    <row r="51" spans="1:16" hidden="1">
      <c r="A51" s="3" t="s">
        <v>98</v>
      </c>
    </row>
    <row r="52" spans="1:16" hidden="1">
      <c r="A52" s="3" t="s">
        <v>99</v>
      </c>
    </row>
    <row r="53" spans="1:16" hidden="1">
      <c r="A53" t="s">
        <v>0</v>
      </c>
      <c r="M53" t="s">
        <v>1</v>
      </c>
    </row>
    <row r="54" spans="1:16" hidden="1">
      <c r="M54" t="s">
        <v>102</v>
      </c>
    </row>
    <row r="55" spans="1:16" hidden="1"/>
    <row r="56" spans="1:16" hidden="1"/>
    <row r="57" spans="1:16" hidden="1">
      <c r="A57" s="92" t="s">
        <v>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idden="1">
      <c r="A58" s="92" t="s">
        <v>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idden="1">
      <c r="P59" s="1" t="s">
        <v>4</v>
      </c>
    </row>
    <row r="60" spans="1:16" hidden="1">
      <c r="A60" s="94" t="s">
        <v>5</v>
      </c>
      <c r="B60" s="94" t="s">
        <v>6</v>
      </c>
      <c r="C60" s="94" t="s">
        <v>7</v>
      </c>
      <c r="D60" s="95" t="s">
        <v>8</v>
      </c>
      <c r="E60" s="95" t="s">
        <v>9</v>
      </c>
      <c r="F60" s="95"/>
      <c r="G60" s="95"/>
      <c r="H60" s="95"/>
      <c r="I60" s="95"/>
      <c r="J60" s="95" t="s">
        <v>16</v>
      </c>
      <c r="K60" s="95"/>
      <c r="L60" s="95"/>
      <c r="M60" s="95"/>
      <c r="N60" s="95"/>
      <c r="O60" s="95"/>
      <c r="P60" s="96" t="s">
        <v>18</v>
      </c>
    </row>
    <row r="61" spans="1:16" hidden="1">
      <c r="A61" s="95"/>
      <c r="B61" s="95"/>
      <c r="C61" s="95"/>
      <c r="D61" s="95"/>
      <c r="E61" s="96" t="s">
        <v>10</v>
      </c>
      <c r="F61" s="95" t="s">
        <v>11</v>
      </c>
      <c r="G61" s="95" t="s">
        <v>12</v>
      </c>
      <c r="H61" s="95"/>
      <c r="I61" s="95" t="s">
        <v>15</v>
      </c>
      <c r="J61" s="96" t="s">
        <v>10</v>
      </c>
      <c r="K61" s="95" t="s">
        <v>11</v>
      </c>
      <c r="L61" s="95" t="s">
        <v>12</v>
      </c>
      <c r="M61" s="95"/>
      <c r="N61" s="95" t="s">
        <v>15</v>
      </c>
      <c r="O61" s="4" t="s">
        <v>12</v>
      </c>
      <c r="P61" s="95"/>
    </row>
    <row r="62" spans="1:16" hidden="1">
      <c r="A62" s="95"/>
      <c r="B62" s="95"/>
      <c r="C62" s="95"/>
      <c r="D62" s="95"/>
      <c r="E62" s="95"/>
      <c r="F62" s="95"/>
      <c r="G62" s="95" t="s">
        <v>13</v>
      </c>
      <c r="H62" s="95" t="s">
        <v>14</v>
      </c>
      <c r="I62" s="95"/>
      <c r="J62" s="95"/>
      <c r="K62" s="95"/>
      <c r="L62" s="95" t="s">
        <v>13</v>
      </c>
      <c r="M62" s="95" t="s">
        <v>14</v>
      </c>
      <c r="N62" s="95"/>
      <c r="O62" s="95" t="s">
        <v>17</v>
      </c>
      <c r="P62" s="95"/>
    </row>
    <row r="63" spans="1:16" hidden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hidden="1">
      <c r="A64" s="4">
        <v>1</v>
      </c>
      <c r="B64" s="4">
        <v>2</v>
      </c>
      <c r="C64" s="4">
        <v>3</v>
      </c>
      <c r="D64" s="4">
        <v>4</v>
      </c>
      <c r="E64" s="5">
        <v>5</v>
      </c>
      <c r="F64" s="4">
        <v>6</v>
      </c>
      <c r="G64" s="4">
        <v>7</v>
      </c>
      <c r="H64" s="4">
        <v>8</v>
      </c>
      <c r="I64" s="4">
        <v>9</v>
      </c>
      <c r="J64" s="5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5">
        <v>16</v>
      </c>
    </row>
    <row r="65" spans="1:16" ht="76.5" hidden="1">
      <c r="A65" s="6" t="s">
        <v>19</v>
      </c>
      <c r="B65" s="7"/>
      <c r="C65" s="8"/>
      <c r="D65" s="9" t="s">
        <v>20</v>
      </c>
      <c r="E65" s="10">
        <f t="shared" ref="E65:O65" si="1">E66+E68+E71+E74+E77+E80+E84+E86+E89+E92+E94+E98+E100+E104</f>
        <v>24977186</v>
      </c>
      <c r="F65" s="10">
        <f t="shared" si="1"/>
        <v>24345186</v>
      </c>
      <c r="G65" s="10">
        <f t="shared" si="1"/>
        <v>5131124</v>
      </c>
      <c r="H65" s="10">
        <f t="shared" si="1"/>
        <v>1894004</v>
      </c>
      <c r="I65" s="10">
        <f t="shared" si="1"/>
        <v>542000</v>
      </c>
      <c r="J65" s="10">
        <f t="shared" si="1"/>
        <v>21188790</v>
      </c>
      <c r="K65" s="10">
        <f t="shared" si="1"/>
        <v>558000</v>
      </c>
      <c r="L65" s="10">
        <f t="shared" si="1"/>
        <v>0</v>
      </c>
      <c r="M65" s="10">
        <f t="shared" si="1"/>
        <v>0</v>
      </c>
      <c r="N65" s="10">
        <f t="shared" si="1"/>
        <v>20630790</v>
      </c>
      <c r="O65" s="10">
        <f t="shared" si="1"/>
        <v>18130790</v>
      </c>
      <c r="P65" s="10">
        <f t="shared" ref="P65:P109" si="2">E65+J65</f>
        <v>46165976</v>
      </c>
    </row>
    <row r="66" spans="1:16" hidden="1">
      <c r="A66" s="7"/>
      <c r="B66" s="6" t="s">
        <v>21</v>
      </c>
      <c r="C66" s="8"/>
      <c r="D66" s="11" t="s">
        <v>22</v>
      </c>
      <c r="E66" s="10">
        <f t="shared" ref="E66:O66" si="3">E67</f>
        <v>5783415</v>
      </c>
      <c r="F66" s="11">
        <f t="shared" si="3"/>
        <v>5783415</v>
      </c>
      <c r="G66" s="11">
        <f t="shared" si="3"/>
        <v>3049930</v>
      </c>
      <c r="H66" s="11">
        <f t="shared" si="3"/>
        <v>548500</v>
      </c>
      <c r="I66" s="11">
        <f t="shared" si="3"/>
        <v>0</v>
      </c>
      <c r="J66" s="10">
        <f t="shared" si="3"/>
        <v>85000</v>
      </c>
      <c r="K66" s="11">
        <f t="shared" si="3"/>
        <v>35000</v>
      </c>
      <c r="L66" s="11">
        <f t="shared" si="3"/>
        <v>0</v>
      </c>
      <c r="M66" s="11">
        <f t="shared" si="3"/>
        <v>0</v>
      </c>
      <c r="N66" s="11">
        <f t="shared" si="3"/>
        <v>50000</v>
      </c>
      <c r="O66" s="11">
        <f t="shared" si="3"/>
        <v>50000</v>
      </c>
      <c r="P66" s="10">
        <f t="shared" si="2"/>
        <v>5868415</v>
      </c>
    </row>
    <row r="67" spans="1:16" ht="63.75" hidden="1">
      <c r="A67" s="4"/>
      <c r="B67" s="12" t="s">
        <v>24</v>
      </c>
      <c r="C67" s="13" t="s">
        <v>23</v>
      </c>
      <c r="D67" s="14" t="s">
        <v>25</v>
      </c>
      <c r="E67" s="15">
        <f>F67+I67</f>
        <v>5783415</v>
      </c>
      <c r="F67" s="14">
        <f>5623415+160000</f>
        <v>5783415</v>
      </c>
      <c r="G67" s="14">
        <v>3049930</v>
      </c>
      <c r="H67" s="14">
        <v>548500</v>
      </c>
      <c r="I67" s="14">
        <v>0</v>
      </c>
      <c r="J67" s="15">
        <f>K67+N67</f>
        <v>85000</v>
      </c>
      <c r="K67" s="14">
        <v>35000</v>
      </c>
      <c r="L67" s="14">
        <v>0</v>
      </c>
      <c r="M67" s="14">
        <v>0</v>
      </c>
      <c r="N67" s="14">
        <v>50000</v>
      </c>
      <c r="O67" s="14">
        <v>50000</v>
      </c>
      <c r="P67" s="15">
        <f t="shared" si="2"/>
        <v>5868415</v>
      </c>
    </row>
    <row r="68" spans="1:16" hidden="1">
      <c r="A68" s="7"/>
      <c r="B68" s="6" t="s">
        <v>26</v>
      </c>
      <c r="C68" s="8"/>
      <c r="D68" s="11" t="s">
        <v>27</v>
      </c>
      <c r="E68" s="10">
        <f t="shared" ref="E68:O68" si="4">E69+E70</f>
        <v>540000</v>
      </c>
      <c r="F68" s="11">
        <f t="shared" si="4"/>
        <v>540000</v>
      </c>
      <c r="G68" s="11">
        <f t="shared" si="4"/>
        <v>0</v>
      </c>
      <c r="H68" s="11">
        <f t="shared" si="4"/>
        <v>0</v>
      </c>
      <c r="I68" s="11">
        <f t="shared" si="4"/>
        <v>0</v>
      </c>
      <c r="J68" s="10">
        <f t="shared" si="4"/>
        <v>300000</v>
      </c>
      <c r="K68" s="11">
        <f t="shared" si="4"/>
        <v>0</v>
      </c>
      <c r="L68" s="11">
        <f t="shared" si="4"/>
        <v>0</v>
      </c>
      <c r="M68" s="11">
        <f t="shared" si="4"/>
        <v>0</v>
      </c>
      <c r="N68" s="11">
        <f t="shared" si="4"/>
        <v>300000</v>
      </c>
      <c r="O68" s="11">
        <f t="shared" si="4"/>
        <v>300000</v>
      </c>
      <c r="P68" s="10">
        <f t="shared" si="2"/>
        <v>840000</v>
      </c>
    </row>
    <row r="69" spans="1:16" ht="51" hidden="1">
      <c r="A69" s="4"/>
      <c r="B69" s="12" t="s">
        <v>29</v>
      </c>
      <c r="C69" s="13" t="s">
        <v>28</v>
      </c>
      <c r="D69" s="14" t="s">
        <v>30</v>
      </c>
      <c r="E69" s="15">
        <f>F69+I69</f>
        <v>200000</v>
      </c>
      <c r="F69" s="14">
        <v>200000</v>
      </c>
      <c r="G69" s="14"/>
      <c r="H69" s="14"/>
      <c r="I69" s="14">
        <v>0</v>
      </c>
      <c r="J69" s="15">
        <f>K69+N69</f>
        <v>300000</v>
      </c>
      <c r="K69" s="14">
        <v>0</v>
      </c>
      <c r="L69" s="14">
        <v>0</v>
      </c>
      <c r="M69" s="14">
        <v>0</v>
      </c>
      <c r="N69" s="14">
        <v>300000</v>
      </c>
      <c r="O69" s="14">
        <v>300000</v>
      </c>
      <c r="P69" s="15">
        <f t="shared" si="2"/>
        <v>500000</v>
      </c>
    </row>
    <row r="70" spans="1:16" hidden="1">
      <c r="A70" s="4"/>
      <c r="B70" s="12" t="s">
        <v>32</v>
      </c>
      <c r="C70" s="13" t="s">
        <v>31</v>
      </c>
      <c r="D70" s="14" t="s">
        <v>33</v>
      </c>
      <c r="E70" s="15">
        <f>F70+I70</f>
        <v>340000</v>
      </c>
      <c r="F70" s="14">
        <v>340000</v>
      </c>
      <c r="G70" s="14">
        <v>0</v>
      </c>
      <c r="H70" s="14">
        <v>0</v>
      </c>
      <c r="I70" s="14">
        <v>0</v>
      </c>
      <c r="J70" s="15">
        <f>K70+N70</f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f t="shared" si="2"/>
        <v>340000</v>
      </c>
    </row>
    <row r="71" spans="1:16" hidden="1">
      <c r="A71" s="7"/>
      <c r="B71" s="6" t="s">
        <v>34</v>
      </c>
      <c r="C71" s="8"/>
      <c r="D71" s="11" t="s">
        <v>35</v>
      </c>
      <c r="E71" s="10">
        <f t="shared" ref="E71:O71" si="5">E72+E73</f>
        <v>1031000</v>
      </c>
      <c r="F71" s="11">
        <f t="shared" si="5"/>
        <v>1031000</v>
      </c>
      <c r="G71" s="11">
        <f t="shared" si="5"/>
        <v>5738</v>
      </c>
      <c r="H71" s="11">
        <f t="shared" si="5"/>
        <v>0</v>
      </c>
      <c r="I71" s="11">
        <f t="shared" si="5"/>
        <v>0</v>
      </c>
      <c r="J71" s="23">
        <f t="shared" si="5"/>
        <v>0</v>
      </c>
      <c r="K71" s="11">
        <f t="shared" si="5"/>
        <v>0</v>
      </c>
      <c r="L71" s="11">
        <f t="shared" si="5"/>
        <v>0</v>
      </c>
      <c r="M71" s="11">
        <f t="shared" si="5"/>
        <v>0</v>
      </c>
      <c r="N71" s="11">
        <f t="shared" si="5"/>
        <v>0</v>
      </c>
      <c r="O71" s="11">
        <f t="shared" si="5"/>
        <v>0</v>
      </c>
      <c r="P71" s="10">
        <f t="shared" si="2"/>
        <v>1031000</v>
      </c>
    </row>
    <row r="72" spans="1:16" hidden="1">
      <c r="A72" s="7"/>
      <c r="B72" s="20">
        <v>3240</v>
      </c>
      <c r="C72" s="13" t="s">
        <v>105</v>
      </c>
      <c r="D72" s="21" t="s">
        <v>106</v>
      </c>
      <c r="E72" s="22">
        <f>F72+I72</f>
        <v>7000</v>
      </c>
      <c r="F72" s="21">
        <v>7000</v>
      </c>
      <c r="G72" s="21">
        <v>5738</v>
      </c>
      <c r="H72" s="21">
        <v>0</v>
      </c>
      <c r="I72" s="21">
        <v>0</v>
      </c>
      <c r="J72" s="22">
        <f>K72+N72</f>
        <v>0</v>
      </c>
      <c r="K72" s="11"/>
      <c r="L72" s="11"/>
      <c r="M72" s="11"/>
      <c r="N72" s="11"/>
      <c r="O72" s="11"/>
      <c r="P72" s="15">
        <f t="shared" si="2"/>
        <v>7000</v>
      </c>
    </row>
    <row r="73" spans="1:16" hidden="1">
      <c r="A73" s="4"/>
      <c r="B73" s="12" t="s">
        <v>37</v>
      </c>
      <c r="C73" s="13" t="s">
        <v>36</v>
      </c>
      <c r="D73" s="14" t="s">
        <v>38</v>
      </c>
      <c r="E73" s="15">
        <f>F73+I73</f>
        <v>1024000</v>
      </c>
      <c r="F73" s="14">
        <f>781000+243000</f>
        <v>1024000</v>
      </c>
      <c r="G73" s="14">
        <v>0</v>
      </c>
      <c r="H73" s="14">
        <v>0</v>
      </c>
      <c r="I73" s="14">
        <v>0</v>
      </c>
      <c r="J73" s="15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5">
        <f t="shared" si="2"/>
        <v>1024000</v>
      </c>
    </row>
    <row r="74" spans="1:16" hidden="1">
      <c r="A74" s="7"/>
      <c r="B74" s="6" t="s">
        <v>39</v>
      </c>
      <c r="C74" s="8"/>
      <c r="D74" s="11" t="s">
        <v>40</v>
      </c>
      <c r="E74" s="10">
        <f t="shared" ref="E74:O74" si="6">E75+E76</f>
        <v>4597561</v>
      </c>
      <c r="F74" s="11">
        <f t="shared" si="6"/>
        <v>4597561</v>
      </c>
      <c r="G74" s="11">
        <f t="shared" si="6"/>
        <v>2075456</v>
      </c>
      <c r="H74" s="11">
        <f t="shared" si="6"/>
        <v>770504</v>
      </c>
      <c r="I74" s="11">
        <f t="shared" si="6"/>
        <v>0</v>
      </c>
      <c r="J74" s="10">
        <f t="shared" si="6"/>
        <v>585000</v>
      </c>
      <c r="K74" s="11">
        <f t="shared" si="6"/>
        <v>5000</v>
      </c>
      <c r="L74" s="11">
        <f t="shared" si="6"/>
        <v>0</v>
      </c>
      <c r="M74" s="11">
        <f t="shared" si="6"/>
        <v>0</v>
      </c>
      <c r="N74" s="11">
        <f t="shared" si="6"/>
        <v>580000</v>
      </c>
      <c r="O74" s="11">
        <f t="shared" si="6"/>
        <v>580000</v>
      </c>
      <c r="P74" s="10">
        <f t="shared" si="2"/>
        <v>5182561</v>
      </c>
    </row>
    <row r="75" spans="1:16" hidden="1">
      <c r="A75" s="4"/>
      <c r="B75" s="12" t="s">
        <v>42</v>
      </c>
      <c r="C75" s="13" t="s">
        <v>41</v>
      </c>
      <c r="D75" s="14" t="s">
        <v>43</v>
      </c>
      <c r="E75" s="15">
        <f>F75+I75</f>
        <v>244486</v>
      </c>
      <c r="F75" s="14">
        <v>244486</v>
      </c>
      <c r="G75" s="14">
        <v>195480</v>
      </c>
      <c r="H75" s="14">
        <v>0</v>
      </c>
      <c r="I75" s="14">
        <v>0</v>
      </c>
      <c r="J75" s="15">
        <f>K75+N75</f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f t="shared" si="2"/>
        <v>244486</v>
      </c>
    </row>
    <row r="76" spans="1:16" ht="25.5" hidden="1">
      <c r="A76" s="4"/>
      <c r="B76" s="12" t="s">
        <v>45</v>
      </c>
      <c r="C76" s="13" t="s">
        <v>44</v>
      </c>
      <c r="D76" s="14" t="s">
        <v>46</v>
      </c>
      <c r="E76" s="15">
        <f>F76+I76</f>
        <v>4353075</v>
      </c>
      <c r="F76" s="14">
        <f>3953075+400000</f>
        <v>4353075</v>
      </c>
      <c r="G76" s="14">
        <v>1879976</v>
      </c>
      <c r="H76" s="14">
        <v>770504</v>
      </c>
      <c r="I76" s="14">
        <v>0</v>
      </c>
      <c r="J76" s="15">
        <f>K76+N76</f>
        <v>585000</v>
      </c>
      <c r="K76" s="14">
        <v>5000</v>
      </c>
      <c r="L76" s="14">
        <v>0</v>
      </c>
      <c r="M76" s="14">
        <v>0</v>
      </c>
      <c r="N76" s="14">
        <f>45000+235000+300000</f>
        <v>580000</v>
      </c>
      <c r="O76" s="14">
        <f>45000+235000+300000</f>
        <v>580000</v>
      </c>
      <c r="P76" s="15">
        <f t="shared" si="2"/>
        <v>4938075</v>
      </c>
    </row>
    <row r="77" spans="1:16" hidden="1">
      <c r="A77" s="7"/>
      <c r="B77" s="6" t="s">
        <v>47</v>
      </c>
      <c r="C77" s="8"/>
      <c r="D77" s="11" t="s">
        <v>48</v>
      </c>
      <c r="E77" s="10">
        <f t="shared" ref="E77:O77" si="7">E78</f>
        <v>2578300</v>
      </c>
      <c r="F77" s="11">
        <f t="shared" si="7"/>
        <v>2578300</v>
      </c>
      <c r="G77" s="11">
        <f t="shared" si="7"/>
        <v>0</v>
      </c>
      <c r="H77" s="11">
        <f t="shared" si="7"/>
        <v>0</v>
      </c>
      <c r="I77" s="11">
        <f t="shared" si="7"/>
        <v>0</v>
      </c>
      <c r="J77" s="10">
        <f t="shared" si="7"/>
        <v>873700</v>
      </c>
      <c r="K77" s="11">
        <f t="shared" si="7"/>
        <v>0</v>
      </c>
      <c r="L77" s="11">
        <f t="shared" si="7"/>
        <v>0</v>
      </c>
      <c r="M77" s="11">
        <f t="shared" si="7"/>
        <v>0</v>
      </c>
      <c r="N77" s="11">
        <f t="shared" si="7"/>
        <v>873700</v>
      </c>
      <c r="O77" s="11">
        <f t="shared" si="7"/>
        <v>873700</v>
      </c>
      <c r="P77" s="10">
        <f t="shared" si="2"/>
        <v>3452000</v>
      </c>
    </row>
    <row r="78" spans="1:16" ht="38.25" hidden="1">
      <c r="A78" s="4"/>
      <c r="B78" s="12">
        <v>5032</v>
      </c>
      <c r="C78" s="13" t="s">
        <v>49</v>
      </c>
      <c r="D78" s="14" t="s">
        <v>51</v>
      </c>
      <c r="E78" s="15">
        <f>F78+I78</f>
        <v>2578300</v>
      </c>
      <c r="F78" s="14">
        <v>2578300</v>
      </c>
      <c r="G78" s="14">
        <v>0</v>
      </c>
      <c r="H78" s="14">
        <v>0</v>
      </c>
      <c r="I78" s="14">
        <v>0</v>
      </c>
      <c r="J78" s="15">
        <f>K78+N78</f>
        <v>873700</v>
      </c>
      <c r="K78" s="14">
        <v>0</v>
      </c>
      <c r="L78" s="14">
        <v>0</v>
      </c>
      <c r="M78" s="14">
        <v>0</v>
      </c>
      <c r="N78" s="14">
        <v>873700</v>
      </c>
      <c r="O78" s="14">
        <v>873700</v>
      </c>
      <c r="P78" s="15">
        <f t="shared" si="2"/>
        <v>3452000</v>
      </c>
    </row>
    <row r="79" spans="1:16" hidden="1">
      <c r="A79" s="4"/>
      <c r="B79" s="12"/>
      <c r="C79" s="13"/>
      <c r="D79" s="11" t="s">
        <v>107</v>
      </c>
      <c r="E79" s="15">
        <f>F79+I79</f>
        <v>2578300</v>
      </c>
      <c r="F79" s="14">
        <v>2578300</v>
      </c>
      <c r="G79" s="14">
        <v>0</v>
      </c>
      <c r="H79" s="14">
        <v>0</v>
      </c>
      <c r="I79" s="14">
        <v>0</v>
      </c>
      <c r="J79" s="15">
        <f>K79+N79</f>
        <v>873700</v>
      </c>
      <c r="K79" s="14">
        <v>0</v>
      </c>
      <c r="L79" s="14">
        <v>0</v>
      </c>
      <c r="M79" s="14">
        <v>0</v>
      </c>
      <c r="N79" s="14">
        <v>873700</v>
      </c>
      <c r="O79" s="14">
        <v>873700</v>
      </c>
      <c r="P79" s="15">
        <f t="shared" si="2"/>
        <v>3452000</v>
      </c>
    </row>
    <row r="80" spans="1:16" hidden="1">
      <c r="A80" s="7"/>
      <c r="B80" s="6" t="s">
        <v>52</v>
      </c>
      <c r="C80" s="8"/>
      <c r="D80" s="11" t="s">
        <v>53</v>
      </c>
      <c r="E80" s="10">
        <f t="shared" ref="E80:O80" si="8">E81+E83</f>
        <v>5931000</v>
      </c>
      <c r="F80" s="11">
        <f t="shared" si="8"/>
        <v>5489000</v>
      </c>
      <c r="G80" s="11">
        <f t="shared" si="8"/>
        <v>0</v>
      </c>
      <c r="H80" s="11">
        <f t="shared" si="8"/>
        <v>575000</v>
      </c>
      <c r="I80" s="11">
        <f t="shared" si="8"/>
        <v>442000</v>
      </c>
      <c r="J80" s="10">
        <f t="shared" si="8"/>
        <v>4040000</v>
      </c>
      <c r="K80" s="11">
        <f t="shared" si="8"/>
        <v>0</v>
      </c>
      <c r="L80" s="11">
        <f t="shared" si="8"/>
        <v>0</v>
      </c>
      <c r="M80" s="11">
        <f t="shared" si="8"/>
        <v>0</v>
      </c>
      <c r="N80" s="11">
        <f t="shared" si="8"/>
        <v>4040000</v>
      </c>
      <c r="O80" s="11">
        <f t="shared" si="8"/>
        <v>4040000</v>
      </c>
      <c r="P80" s="10">
        <f t="shared" si="2"/>
        <v>9971000</v>
      </c>
    </row>
    <row r="81" spans="1:16" ht="25.5" hidden="1">
      <c r="A81" s="7"/>
      <c r="B81" s="20">
        <v>6052</v>
      </c>
      <c r="C81" s="13" t="s">
        <v>54</v>
      </c>
      <c r="D81" s="21" t="s">
        <v>108</v>
      </c>
      <c r="E81" s="10">
        <f>F81+I81</f>
        <v>502000</v>
      </c>
      <c r="F81" s="21">
        <v>60000</v>
      </c>
      <c r="G81" s="21">
        <v>0</v>
      </c>
      <c r="H81" s="21">
        <v>0</v>
      </c>
      <c r="I81" s="21">
        <v>442000</v>
      </c>
      <c r="J81" s="10">
        <f>K81+N81</f>
        <v>960000</v>
      </c>
      <c r="K81" s="21">
        <v>0</v>
      </c>
      <c r="L81" s="21">
        <v>0</v>
      </c>
      <c r="M81" s="21">
        <v>0</v>
      </c>
      <c r="N81" s="21">
        <v>960000</v>
      </c>
      <c r="O81" s="21">
        <v>960000</v>
      </c>
      <c r="P81" s="15">
        <f t="shared" si="2"/>
        <v>1462000</v>
      </c>
    </row>
    <row r="82" spans="1:16" hidden="1">
      <c r="A82" s="7"/>
      <c r="B82" s="20"/>
      <c r="C82" s="13"/>
      <c r="D82" s="11" t="s">
        <v>109</v>
      </c>
      <c r="E82" s="10">
        <f>F82+I82</f>
        <v>442000</v>
      </c>
      <c r="F82" s="21">
        <v>0</v>
      </c>
      <c r="G82" s="21">
        <v>0</v>
      </c>
      <c r="H82" s="21">
        <v>0</v>
      </c>
      <c r="I82" s="21">
        <v>442000</v>
      </c>
      <c r="J82" s="10">
        <f>K82+N82</f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5">
        <f t="shared" si="2"/>
        <v>442000</v>
      </c>
    </row>
    <row r="83" spans="1:16" hidden="1">
      <c r="A83" s="4"/>
      <c r="B83" s="12" t="s">
        <v>55</v>
      </c>
      <c r="C83" s="13" t="s">
        <v>54</v>
      </c>
      <c r="D83" s="14" t="s">
        <v>56</v>
      </c>
      <c r="E83" s="15">
        <f>F83+I83</f>
        <v>5429000</v>
      </c>
      <c r="F83" s="14">
        <v>5429000</v>
      </c>
      <c r="G83" s="14">
        <v>0</v>
      </c>
      <c r="H83" s="14">
        <v>575000</v>
      </c>
      <c r="I83" s="14">
        <v>0</v>
      </c>
      <c r="J83" s="15">
        <f>K83+N83</f>
        <v>3080000</v>
      </c>
      <c r="K83" s="14">
        <v>0</v>
      </c>
      <c r="L83" s="14">
        <v>0</v>
      </c>
      <c r="M83" s="14">
        <v>0</v>
      </c>
      <c r="N83" s="14">
        <f>200000+2880000</f>
        <v>3080000</v>
      </c>
      <c r="O83" s="14">
        <f>200000+2880000</f>
        <v>3080000</v>
      </c>
      <c r="P83" s="15">
        <f t="shared" si="2"/>
        <v>8509000</v>
      </c>
    </row>
    <row r="84" spans="1:16" hidden="1">
      <c r="A84" s="7"/>
      <c r="B84" s="6" t="s">
        <v>57</v>
      </c>
      <c r="C84" s="8"/>
      <c r="D84" s="11" t="s">
        <v>58</v>
      </c>
      <c r="E84" s="10">
        <f>E85</f>
        <v>0</v>
      </c>
      <c r="F84" s="11">
        <f>F85</f>
        <v>0</v>
      </c>
      <c r="G84" s="11">
        <f>G85</f>
        <v>0</v>
      </c>
      <c r="H84" s="11">
        <f>H85</f>
        <v>0</v>
      </c>
      <c r="I84" s="11">
        <f>I85</f>
        <v>0</v>
      </c>
      <c r="J84" s="10">
        <f>K84+N84</f>
        <v>4800000</v>
      </c>
      <c r="K84" s="11">
        <f>K85</f>
        <v>0</v>
      </c>
      <c r="L84" s="11">
        <f>L85</f>
        <v>0</v>
      </c>
      <c r="M84" s="11">
        <f>M85</f>
        <v>0</v>
      </c>
      <c r="N84" s="11">
        <f>N85</f>
        <v>4800000</v>
      </c>
      <c r="O84" s="11">
        <f>O85</f>
        <v>4800000</v>
      </c>
      <c r="P84" s="10">
        <f t="shared" si="2"/>
        <v>4800000</v>
      </c>
    </row>
    <row r="85" spans="1:16" ht="25.5" hidden="1">
      <c r="A85" s="4"/>
      <c r="B85" s="12" t="s">
        <v>60</v>
      </c>
      <c r="C85" s="13" t="s">
        <v>59</v>
      </c>
      <c r="D85" s="14" t="s">
        <v>61</v>
      </c>
      <c r="E85" s="15">
        <f>F85+I85</f>
        <v>0</v>
      </c>
      <c r="F85" s="14">
        <v>0</v>
      </c>
      <c r="G85" s="14">
        <v>0</v>
      </c>
      <c r="H85" s="14">
        <v>0</v>
      </c>
      <c r="I85" s="14">
        <v>0</v>
      </c>
      <c r="J85" s="15">
        <f>K85+N85</f>
        <v>4800000</v>
      </c>
      <c r="K85" s="14">
        <v>0</v>
      </c>
      <c r="L85" s="14">
        <v>0</v>
      </c>
      <c r="M85" s="14">
        <v>0</v>
      </c>
      <c r="N85" s="14">
        <f>2000000+2800000</f>
        <v>4800000</v>
      </c>
      <c r="O85" s="14">
        <f>2000000+2800000</f>
        <v>4800000</v>
      </c>
      <c r="P85" s="15">
        <f t="shared" si="2"/>
        <v>4800000</v>
      </c>
    </row>
    <row r="86" spans="1:16" ht="25.5" hidden="1">
      <c r="A86" s="7"/>
      <c r="B86" s="6" t="s">
        <v>62</v>
      </c>
      <c r="C86" s="8"/>
      <c r="D86" s="11" t="s">
        <v>63</v>
      </c>
      <c r="E86" s="10">
        <f t="shared" ref="E86:O86" si="9">E87</f>
        <v>400000</v>
      </c>
      <c r="F86" s="11">
        <f t="shared" si="9"/>
        <v>300000</v>
      </c>
      <c r="G86" s="11">
        <f t="shared" si="9"/>
        <v>0</v>
      </c>
      <c r="H86" s="11">
        <f t="shared" si="9"/>
        <v>0</v>
      </c>
      <c r="I86" s="11">
        <f t="shared" si="9"/>
        <v>100000</v>
      </c>
      <c r="J86" s="10">
        <f t="shared" si="9"/>
        <v>2177090</v>
      </c>
      <c r="K86" s="11">
        <f t="shared" si="9"/>
        <v>0</v>
      </c>
      <c r="L86" s="11">
        <f t="shared" si="9"/>
        <v>0</v>
      </c>
      <c r="M86" s="11">
        <f t="shared" si="9"/>
        <v>0</v>
      </c>
      <c r="N86" s="11">
        <f t="shared" si="9"/>
        <v>2177090</v>
      </c>
      <c r="O86" s="11">
        <f t="shared" si="9"/>
        <v>2177090</v>
      </c>
      <c r="P86" s="10">
        <f t="shared" si="2"/>
        <v>2577090</v>
      </c>
    </row>
    <row r="87" spans="1:16" hidden="1">
      <c r="A87" s="4"/>
      <c r="B87" s="12" t="s">
        <v>65</v>
      </c>
      <c r="C87" s="13" t="s">
        <v>64</v>
      </c>
      <c r="D87" s="14" t="s">
        <v>66</v>
      </c>
      <c r="E87" s="15">
        <f>F87+I87</f>
        <v>400000</v>
      </c>
      <c r="F87" s="14">
        <v>300000</v>
      </c>
      <c r="G87" s="14">
        <v>0</v>
      </c>
      <c r="H87" s="14">
        <v>0</v>
      </c>
      <c r="I87" s="14">
        <v>100000</v>
      </c>
      <c r="J87" s="15">
        <f>K87+N87</f>
        <v>2177090</v>
      </c>
      <c r="K87" s="14">
        <v>0</v>
      </c>
      <c r="L87" s="14">
        <v>0</v>
      </c>
      <c r="M87" s="14">
        <v>0</v>
      </c>
      <c r="N87" s="14">
        <f>1000000+1177090</f>
        <v>2177090</v>
      </c>
      <c r="O87" s="14">
        <f>1000000+1177090</f>
        <v>2177090</v>
      </c>
      <c r="P87" s="15">
        <f t="shared" si="2"/>
        <v>2577090</v>
      </c>
    </row>
    <row r="88" spans="1:16" hidden="1">
      <c r="A88" s="4"/>
      <c r="B88" s="12"/>
      <c r="C88" s="13"/>
      <c r="D88" s="11" t="s">
        <v>110</v>
      </c>
      <c r="E88" s="15">
        <f>F88+I88</f>
        <v>100000</v>
      </c>
      <c r="F88" s="14">
        <v>0</v>
      </c>
      <c r="G88" s="14">
        <v>0</v>
      </c>
      <c r="H88" s="14">
        <v>0</v>
      </c>
      <c r="I88" s="14">
        <v>100000</v>
      </c>
      <c r="J88" s="15">
        <f>K88+N88</f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5">
        <f t="shared" si="2"/>
        <v>100000</v>
      </c>
    </row>
    <row r="89" spans="1:16" hidden="1">
      <c r="A89" s="7"/>
      <c r="B89" s="6" t="s">
        <v>67</v>
      </c>
      <c r="C89" s="8"/>
      <c r="D89" s="11" t="s">
        <v>68</v>
      </c>
      <c r="E89" s="10">
        <f t="shared" ref="E89:O89" si="10">E90</f>
        <v>200000</v>
      </c>
      <c r="F89" s="11">
        <f t="shared" si="10"/>
        <v>200000</v>
      </c>
      <c r="G89" s="11">
        <f t="shared" si="10"/>
        <v>0</v>
      </c>
      <c r="H89" s="11">
        <f t="shared" si="10"/>
        <v>0</v>
      </c>
      <c r="I89" s="11">
        <f t="shared" si="10"/>
        <v>0</v>
      </c>
      <c r="J89" s="10">
        <f t="shared" si="10"/>
        <v>0</v>
      </c>
      <c r="K89" s="11">
        <f t="shared" si="10"/>
        <v>0</v>
      </c>
      <c r="L89" s="11">
        <f t="shared" si="10"/>
        <v>0</v>
      </c>
      <c r="M89" s="11">
        <f t="shared" si="10"/>
        <v>0</v>
      </c>
      <c r="N89" s="11">
        <f t="shared" si="10"/>
        <v>0</v>
      </c>
      <c r="O89" s="11">
        <f t="shared" si="10"/>
        <v>0</v>
      </c>
      <c r="P89" s="10">
        <f t="shared" si="2"/>
        <v>200000</v>
      </c>
    </row>
    <row r="90" spans="1:16" ht="25.5" hidden="1">
      <c r="A90" s="4"/>
      <c r="B90" s="12" t="s">
        <v>70</v>
      </c>
      <c r="C90" s="13" t="s">
        <v>69</v>
      </c>
      <c r="D90" s="14" t="s">
        <v>71</v>
      </c>
      <c r="E90" s="15">
        <f>F90+I90</f>
        <v>200000</v>
      </c>
      <c r="F90" s="14">
        <v>200000</v>
      </c>
      <c r="G90" s="14">
        <v>0</v>
      </c>
      <c r="H90" s="14">
        <v>0</v>
      </c>
      <c r="I90" s="14">
        <v>0</v>
      </c>
      <c r="J90" s="15">
        <f>K90+N90</f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5">
        <f t="shared" si="2"/>
        <v>200000</v>
      </c>
    </row>
    <row r="91" spans="1:16" hidden="1">
      <c r="A91" s="4"/>
      <c r="B91" s="12"/>
      <c r="C91" s="13"/>
      <c r="D91" s="11" t="s">
        <v>111</v>
      </c>
      <c r="E91" s="15">
        <f>F91+I91</f>
        <v>200000</v>
      </c>
      <c r="F91" s="14">
        <v>200000</v>
      </c>
      <c r="G91" s="14">
        <v>0</v>
      </c>
      <c r="H91" s="14">
        <v>0</v>
      </c>
      <c r="I91" s="14">
        <v>0</v>
      </c>
      <c r="J91" s="15">
        <f>K91+N91</f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5">
        <f t="shared" si="2"/>
        <v>200000</v>
      </c>
    </row>
    <row r="92" spans="1:16" ht="25.5" hidden="1">
      <c r="A92" s="7"/>
      <c r="B92" s="6" t="s">
        <v>72</v>
      </c>
      <c r="C92" s="8"/>
      <c r="D92" s="11" t="s">
        <v>73</v>
      </c>
      <c r="E92" s="10">
        <f t="shared" ref="E92:O92" si="11">E93</f>
        <v>100000</v>
      </c>
      <c r="F92" s="11">
        <f t="shared" si="11"/>
        <v>100000</v>
      </c>
      <c r="G92" s="11">
        <f t="shared" si="11"/>
        <v>0</v>
      </c>
      <c r="H92" s="11">
        <f t="shared" si="11"/>
        <v>0</v>
      </c>
      <c r="I92" s="11">
        <f t="shared" si="11"/>
        <v>0</v>
      </c>
      <c r="J92" s="10">
        <f t="shared" si="11"/>
        <v>500000</v>
      </c>
      <c r="K92" s="11">
        <f t="shared" si="11"/>
        <v>0</v>
      </c>
      <c r="L92" s="11">
        <f t="shared" si="11"/>
        <v>0</v>
      </c>
      <c r="M92" s="11">
        <f t="shared" si="11"/>
        <v>0</v>
      </c>
      <c r="N92" s="11">
        <f t="shared" si="11"/>
        <v>500000</v>
      </c>
      <c r="O92" s="11">
        <f t="shared" si="11"/>
        <v>500000</v>
      </c>
      <c r="P92" s="10">
        <f t="shared" si="2"/>
        <v>600000</v>
      </c>
    </row>
    <row r="93" spans="1:16" hidden="1">
      <c r="A93" s="4"/>
      <c r="B93" s="12" t="s">
        <v>75</v>
      </c>
      <c r="C93" s="13" t="s">
        <v>74</v>
      </c>
      <c r="D93" s="14" t="s">
        <v>76</v>
      </c>
      <c r="E93" s="15">
        <f>F93+I93</f>
        <v>100000</v>
      </c>
      <c r="F93" s="14">
        <v>100000</v>
      </c>
      <c r="G93" s="14">
        <v>0</v>
      </c>
      <c r="H93" s="14">
        <v>0</v>
      </c>
      <c r="I93" s="14">
        <v>0</v>
      </c>
      <c r="J93" s="15">
        <f>K93+N93</f>
        <v>500000</v>
      </c>
      <c r="K93" s="14">
        <v>0</v>
      </c>
      <c r="L93" s="14">
        <v>0</v>
      </c>
      <c r="M93" s="14">
        <v>0</v>
      </c>
      <c r="N93" s="14">
        <v>500000</v>
      </c>
      <c r="O93" s="14">
        <v>500000</v>
      </c>
      <c r="P93" s="15">
        <f t="shared" si="2"/>
        <v>600000</v>
      </c>
    </row>
    <row r="94" spans="1:16" ht="25.5" hidden="1">
      <c r="A94" s="4"/>
      <c r="B94" s="6">
        <v>7400</v>
      </c>
      <c r="C94" s="13"/>
      <c r="D94" s="11" t="s">
        <v>112</v>
      </c>
      <c r="E94" s="10">
        <f t="shared" ref="E94:O94" si="12">E95</f>
        <v>0</v>
      </c>
      <c r="F94" s="11">
        <f t="shared" si="12"/>
        <v>0</v>
      </c>
      <c r="G94" s="11">
        <f t="shared" si="12"/>
        <v>0</v>
      </c>
      <c r="H94" s="11">
        <f t="shared" si="12"/>
        <v>0</v>
      </c>
      <c r="I94" s="11">
        <f t="shared" si="12"/>
        <v>0</v>
      </c>
      <c r="J94" s="10">
        <f t="shared" si="12"/>
        <v>4430000</v>
      </c>
      <c r="K94" s="11">
        <f t="shared" si="12"/>
        <v>0</v>
      </c>
      <c r="L94" s="11">
        <f t="shared" si="12"/>
        <v>0</v>
      </c>
      <c r="M94" s="11">
        <f t="shared" si="12"/>
        <v>0</v>
      </c>
      <c r="N94" s="11">
        <f t="shared" si="12"/>
        <v>4430000</v>
      </c>
      <c r="O94" s="11">
        <f t="shared" si="12"/>
        <v>3730000</v>
      </c>
      <c r="P94" s="10">
        <f t="shared" si="2"/>
        <v>4430000</v>
      </c>
    </row>
    <row r="95" spans="1:16" ht="25.5" hidden="1">
      <c r="A95" s="4"/>
      <c r="B95" s="12">
        <v>7470</v>
      </c>
      <c r="C95" s="13" t="s">
        <v>59</v>
      </c>
      <c r="D95" s="14" t="s">
        <v>113</v>
      </c>
      <c r="E95" s="15">
        <f>F95+I95</f>
        <v>0</v>
      </c>
      <c r="F95" s="14">
        <v>0</v>
      </c>
      <c r="G95" s="14">
        <v>0</v>
      </c>
      <c r="H95" s="14">
        <v>0</v>
      </c>
      <c r="I95" s="14">
        <v>0</v>
      </c>
      <c r="J95" s="15">
        <f>K95+N95</f>
        <v>4430000</v>
      </c>
      <c r="K95" s="14">
        <v>0</v>
      </c>
      <c r="L95" s="14">
        <v>0</v>
      </c>
      <c r="M95" s="14">
        <v>0</v>
      </c>
      <c r="N95" s="14">
        <f>3730000+700000</f>
        <v>4430000</v>
      </c>
      <c r="O95" s="14">
        <v>3730000</v>
      </c>
      <c r="P95" s="15">
        <f t="shared" si="2"/>
        <v>4430000</v>
      </c>
    </row>
    <row r="96" spans="1:16" hidden="1">
      <c r="A96" s="4"/>
      <c r="B96" s="12"/>
      <c r="C96" s="13"/>
      <c r="D96" s="11" t="s">
        <v>109</v>
      </c>
      <c r="E96" s="15">
        <f>F96+I96</f>
        <v>0</v>
      </c>
      <c r="F96" s="14">
        <v>0</v>
      </c>
      <c r="G96" s="14">
        <v>0</v>
      </c>
      <c r="H96" s="14">
        <v>0</v>
      </c>
      <c r="I96" s="14">
        <v>0</v>
      </c>
      <c r="J96" s="15">
        <f>K96+N96</f>
        <v>2030000</v>
      </c>
      <c r="K96" s="14">
        <v>0</v>
      </c>
      <c r="L96" s="14">
        <v>0</v>
      </c>
      <c r="M96" s="14">
        <v>0</v>
      </c>
      <c r="N96" s="14">
        <f>1330000+700000</f>
        <v>2030000</v>
      </c>
      <c r="O96" s="14">
        <v>1330000</v>
      </c>
      <c r="P96" s="15">
        <f t="shared" si="2"/>
        <v>2030000</v>
      </c>
    </row>
    <row r="97" spans="1:16" hidden="1">
      <c r="A97" s="4"/>
      <c r="B97" s="12"/>
      <c r="C97" s="13"/>
      <c r="D97" s="11" t="s">
        <v>111</v>
      </c>
      <c r="E97" s="15">
        <f>F97+I97</f>
        <v>0</v>
      </c>
      <c r="F97" s="14">
        <v>0</v>
      </c>
      <c r="G97" s="14">
        <v>0</v>
      </c>
      <c r="H97" s="14">
        <v>0</v>
      </c>
      <c r="I97" s="14">
        <v>0</v>
      </c>
      <c r="J97" s="15">
        <f>K97+N97</f>
        <v>2400000</v>
      </c>
      <c r="K97" s="14">
        <v>0</v>
      </c>
      <c r="L97" s="14">
        <v>0</v>
      </c>
      <c r="M97" s="14">
        <v>0</v>
      </c>
      <c r="N97" s="14">
        <v>2400000</v>
      </c>
      <c r="O97" s="14">
        <v>2400000</v>
      </c>
      <c r="P97" s="15">
        <f t="shared" si="2"/>
        <v>2400000</v>
      </c>
    </row>
    <row r="98" spans="1:16" ht="25.5" hidden="1">
      <c r="A98" s="7"/>
      <c r="B98" s="6" t="s">
        <v>77</v>
      </c>
      <c r="C98" s="8"/>
      <c r="D98" s="11" t="s">
        <v>78</v>
      </c>
      <c r="E98" s="10">
        <f>E99</f>
        <v>0</v>
      </c>
      <c r="F98" s="11">
        <v>0</v>
      </c>
      <c r="G98" s="11">
        <v>0</v>
      </c>
      <c r="H98" s="11">
        <v>0</v>
      </c>
      <c r="I98" s="11">
        <v>0</v>
      </c>
      <c r="J98" s="10">
        <f>J99</f>
        <v>5000</v>
      </c>
      <c r="K98" s="11">
        <v>5000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5000</v>
      </c>
    </row>
    <row r="99" spans="1:16" hidden="1">
      <c r="A99" s="4"/>
      <c r="B99" s="12" t="s">
        <v>80</v>
      </c>
      <c r="C99" s="13" t="s">
        <v>79</v>
      </c>
      <c r="D99" s="14" t="s">
        <v>81</v>
      </c>
      <c r="E99" s="15">
        <f>F99+I99</f>
        <v>0</v>
      </c>
      <c r="F99" s="14">
        <v>0</v>
      </c>
      <c r="G99" s="14">
        <v>0</v>
      </c>
      <c r="H99" s="14">
        <v>0</v>
      </c>
      <c r="I99" s="14">
        <v>0</v>
      </c>
      <c r="J99" s="15">
        <f>K99+N99</f>
        <v>5000</v>
      </c>
      <c r="K99" s="14">
        <v>5000</v>
      </c>
      <c r="L99" s="14">
        <v>0</v>
      </c>
      <c r="M99" s="14">
        <v>0</v>
      </c>
      <c r="N99" s="14">
        <v>0</v>
      </c>
      <c r="O99" s="14">
        <v>0</v>
      </c>
      <c r="P99" s="15">
        <f t="shared" si="2"/>
        <v>5000</v>
      </c>
    </row>
    <row r="100" spans="1:16" hidden="1">
      <c r="A100" s="7"/>
      <c r="B100" s="6" t="s">
        <v>82</v>
      </c>
      <c r="C100" s="8"/>
      <c r="D100" s="11" t="s">
        <v>83</v>
      </c>
      <c r="E100" s="10">
        <f t="shared" ref="E100:O100" si="13">E101+E102+E103</f>
        <v>3815910</v>
      </c>
      <c r="F100" s="11">
        <f t="shared" si="13"/>
        <v>3725910</v>
      </c>
      <c r="G100" s="11">
        <f t="shared" si="13"/>
        <v>0</v>
      </c>
      <c r="H100" s="11">
        <f t="shared" si="13"/>
        <v>0</v>
      </c>
      <c r="I100" s="11">
        <f t="shared" si="13"/>
        <v>0</v>
      </c>
      <c r="J100" s="10">
        <f t="shared" si="13"/>
        <v>1080000</v>
      </c>
      <c r="K100" s="11">
        <f t="shared" si="13"/>
        <v>0</v>
      </c>
      <c r="L100" s="11">
        <f t="shared" si="13"/>
        <v>0</v>
      </c>
      <c r="M100" s="11">
        <f t="shared" si="13"/>
        <v>0</v>
      </c>
      <c r="N100" s="11">
        <f t="shared" si="13"/>
        <v>1080000</v>
      </c>
      <c r="O100" s="11">
        <f t="shared" si="13"/>
        <v>1080000</v>
      </c>
      <c r="P100" s="10">
        <f t="shared" si="2"/>
        <v>4895910</v>
      </c>
    </row>
    <row r="101" spans="1:16" hidden="1">
      <c r="A101" s="4"/>
      <c r="B101" s="12" t="s">
        <v>85</v>
      </c>
      <c r="C101" s="13" t="s">
        <v>84</v>
      </c>
      <c r="D101" s="14" t="s">
        <v>86</v>
      </c>
      <c r="E101" s="15">
        <v>90000</v>
      </c>
      <c r="F101" s="14">
        <v>0</v>
      </c>
      <c r="G101" s="14">
        <v>0</v>
      </c>
      <c r="H101" s="14">
        <v>0</v>
      </c>
      <c r="I101" s="14">
        <v>0</v>
      </c>
      <c r="J101" s="15">
        <f>K101+N101</f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5">
        <f t="shared" si="2"/>
        <v>90000</v>
      </c>
    </row>
    <row r="102" spans="1:16" ht="38.25" hidden="1">
      <c r="A102" s="4"/>
      <c r="B102" s="12">
        <v>8370</v>
      </c>
      <c r="C102" s="13" t="s">
        <v>114</v>
      </c>
      <c r="D102" s="14" t="s">
        <v>115</v>
      </c>
      <c r="E102" s="15">
        <f>F102+I102</f>
        <v>450000</v>
      </c>
      <c r="F102" s="14">
        <v>450000</v>
      </c>
      <c r="G102" s="14">
        <v>0</v>
      </c>
      <c r="H102" s="14">
        <v>0</v>
      </c>
      <c r="I102" s="14">
        <v>0</v>
      </c>
      <c r="J102" s="15">
        <f>K102+N102</f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f t="shared" si="2"/>
        <v>450000</v>
      </c>
    </row>
    <row r="103" spans="1:16" hidden="1">
      <c r="A103" s="4"/>
      <c r="B103" s="12">
        <v>8800</v>
      </c>
      <c r="C103" s="13" t="s">
        <v>114</v>
      </c>
      <c r="D103" s="14" t="s">
        <v>116</v>
      </c>
      <c r="E103" s="15">
        <f>F103+I103</f>
        <v>3275910</v>
      </c>
      <c r="F103" s="14">
        <v>3275910</v>
      </c>
      <c r="G103" s="14">
        <v>0</v>
      </c>
      <c r="H103" s="14">
        <v>0</v>
      </c>
      <c r="I103" s="14">
        <v>0</v>
      </c>
      <c r="J103" s="15">
        <f>K103+N103</f>
        <v>1080000</v>
      </c>
      <c r="K103" s="14">
        <v>0</v>
      </c>
      <c r="L103" s="14">
        <v>0</v>
      </c>
      <c r="M103" s="14">
        <v>0</v>
      </c>
      <c r="N103" s="14">
        <v>1080000</v>
      </c>
      <c r="O103" s="14">
        <v>1080000</v>
      </c>
      <c r="P103" s="15">
        <f t="shared" si="2"/>
        <v>4355910</v>
      </c>
    </row>
    <row r="104" spans="1:16" hidden="1">
      <c r="A104" s="7"/>
      <c r="B104" s="6" t="s">
        <v>87</v>
      </c>
      <c r="C104" s="8"/>
      <c r="D104" s="11" t="s">
        <v>88</v>
      </c>
      <c r="E104" s="10">
        <f t="shared" ref="E104:O104" si="14">E105+E106</f>
        <v>0</v>
      </c>
      <c r="F104" s="11">
        <f t="shared" si="14"/>
        <v>0</v>
      </c>
      <c r="G104" s="11">
        <f t="shared" si="14"/>
        <v>0</v>
      </c>
      <c r="H104" s="11">
        <f t="shared" si="14"/>
        <v>0</v>
      </c>
      <c r="I104" s="11">
        <f t="shared" si="14"/>
        <v>0</v>
      </c>
      <c r="J104" s="10">
        <f t="shared" si="14"/>
        <v>2313000</v>
      </c>
      <c r="K104" s="11">
        <f t="shared" si="14"/>
        <v>513000</v>
      </c>
      <c r="L104" s="11">
        <f t="shared" si="14"/>
        <v>0</v>
      </c>
      <c r="M104" s="11">
        <f t="shared" si="14"/>
        <v>0</v>
      </c>
      <c r="N104" s="11">
        <f t="shared" si="14"/>
        <v>1800000</v>
      </c>
      <c r="O104" s="11">
        <f t="shared" si="14"/>
        <v>0</v>
      </c>
      <c r="P104" s="10">
        <f t="shared" si="2"/>
        <v>2313000</v>
      </c>
    </row>
    <row r="105" spans="1:16" ht="25.5" hidden="1">
      <c r="A105" s="4"/>
      <c r="B105" s="12" t="s">
        <v>89</v>
      </c>
      <c r="C105" s="13" t="s">
        <v>79</v>
      </c>
      <c r="D105" s="14" t="s">
        <v>90</v>
      </c>
      <c r="E105" s="15">
        <v>0</v>
      </c>
      <c r="F105" s="14">
        <v>0</v>
      </c>
      <c r="G105" s="14">
        <v>0</v>
      </c>
      <c r="H105" s="14">
        <v>0</v>
      </c>
      <c r="I105" s="14">
        <v>0</v>
      </c>
      <c r="J105" s="15">
        <f>K105+N105</f>
        <v>513000</v>
      </c>
      <c r="K105" s="14">
        <v>513000</v>
      </c>
      <c r="L105" s="14">
        <v>0</v>
      </c>
      <c r="M105" s="14">
        <v>0</v>
      </c>
      <c r="N105" s="14">
        <v>0</v>
      </c>
      <c r="O105" s="14">
        <v>0</v>
      </c>
      <c r="P105" s="15">
        <f t="shared" si="2"/>
        <v>513000</v>
      </c>
    </row>
    <row r="106" spans="1:16" ht="51" hidden="1">
      <c r="A106" s="4"/>
      <c r="B106" s="12" t="s">
        <v>91</v>
      </c>
      <c r="C106" s="13" t="s">
        <v>84</v>
      </c>
      <c r="D106" s="14" t="s">
        <v>92</v>
      </c>
      <c r="E106" s="15">
        <v>0</v>
      </c>
      <c r="F106" s="14">
        <v>0</v>
      </c>
      <c r="G106" s="14">
        <v>0</v>
      </c>
      <c r="H106" s="14">
        <v>0</v>
      </c>
      <c r="I106" s="14">
        <v>0</v>
      </c>
      <c r="J106" s="15">
        <f>K106+N106</f>
        <v>1800000</v>
      </c>
      <c r="K106" s="14">
        <v>0</v>
      </c>
      <c r="L106" s="14">
        <v>0</v>
      </c>
      <c r="M106" s="14">
        <v>0</v>
      </c>
      <c r="N106" s="14">
        <f>1500000+1000000-700000</f>
        <v>1800000</v>
      </c>
      <c r="O106" s="14">
        <v>0</v>
      </c>
      <c r="P106" s="15">
        <f t="shared" si="2"/>
        <v>1800000</v>
      </c>
    </row>
    <row r="107" spans="1:16" ht="25.5" hidden="1">
      <c r="A107" s="7" t="s">
        <v>103</v>
      </c>
      <c r="B107" s="12"/>
      <c r="C107" s="13"/>
      <c r="D107" s="11" t="s">
        <v>104</v>
      </c>
      <c r="E107" s="15">
        <f t="shared" ref="E107:O107" si="15">E108</f>
        <v>4956425</v>
      </c>
      <c r="F107" s="15">
        <f t="shared" si="15"/>
        <v>4956425</v>
      </c>
      <c r="G107" s="15">
        <f t="shared" si="15"/>
        <v>2724259</v>
      </c>
      <c r="H107" s="15">
        <f t="shared" si="15"/>
        <v>719697</v>
      </c>
      <c r="I107" s="15">
        <f t="shared" si="15"/>
        <v>0</v>
      </c>
      <c r="J107" s="15">
        <f t="shared" si="15"/>
        <v>1000692</v>
      </c>
      <c r="K107" s="15">
        <f t="shared" si="15"/>
        <v>185692</v>
      </c>
      <c r="L107" s="15">
        <f t="shared" si="15"/>
        <v>0</v>
      </c>
      <c r="M107" s="15">
        <f t="shared" si="15"/>
        <v>0</v>
      </c>
      <c r="N107" s="15">
        <f t="shared" si="15"/>
        <v>815000</v>
      </c>
      <c r="O107" s="15">
        <f t="shared" si="15"/>
        <v>815000</v>
      </c>
      <c r="P107" s="15">
        <f t="shared" si="2"/>
        <v>5957117</v>
      </c>
    </row>
    <row r="108" spans="1:16" ht="51" hidden="1">
      <c r="A108" s="4"/>
      <c r="B108" s="12">
        <v>1020</v>
      </c>
      <c r="C108" s="13" t="s">
        <v>28</v>
      </c>
      <c r="D108" s="14" t="s">
        <v>30</v>
      </c>
      <c r="E108" s="15">
        <f>F108+I108</f>
        <v>4956425</v>
      </c>
      <c r="F108" s="14">
        <v>4956425</v>
      </c>
      <c r="G108" s="14">
        <v>2724259</v>
      </c>
      <c r="H108" s="14">
        <v>719697</v>
      </c>
      <c r="I108" s="14">
        <v>0</v>
      </c>
      <c r="J108" s="15">
        <f>K108+N108</f>
        <v>1000692</v>
      </c>
      <c r="K108" s="14">
        <v>185692</v>
      </c>
      <c r="L108" s="14">
        <v>0</v>
      </c>
      <c r="M108" s="14">
        <v>0</v>
      </c>
      <c r="N108" s="14">
        <v>815000</v>
      </c>
      <c r="O108" s="14">
        <v>815000</v>
      </c>
      <c r="P108" s="15">
        <f t="shared" si="2"/>
        <v>5957117</v>
      </c>
    </row>
    <row r="109" spans="1:16" hidden="1">
      <c r="A109" s="16"/>
      <c r="B109" s="17" t="s">
        <v>93</v>
      </c>
      <c r="C109" s="18"/>
      <c r="D109" s="19" t="s">
        <v>10</v>
      </c>
      <c r="E109" s="10">
        <f t="shared" ref="E109:O109" si="16">E65+E107</f>
        <v>29933611</v>
      </c>
      <c r="F109" s="10">
        <f t="shared" si="16"/>
        <v>29301611</v>
      </c>
      <c r="G109" s="10">
        <f t="shared" si="16"/>
        <v>7855383</v>
      </c>
      <c r="H109" s="10">
        <f t="shared" si="16"/>
        <v>2613701</v>
      </c>
      <c r="I109" s="10">
        <f t="shared" si="16"/>
        <v>542000</v>
      </c>
      <c r="J109" s="10">
        <f t="shared" si="16"/>
        <v>22189482</v>
      </c>
      <c r="K109" s="10">
        <f t="shared" si="16"/>
        <v>743692</v>
      </c>
      <c r="L109" s="10">
        <f t="shared" si="16"/>
        <v>0</v>
      </c>
      <c r="M109" s="10">
        <f t="shared" si="16"/>
        <v>0</v>
      </c>
      <c r="N109" s="10">
        <f t="shared" si="16"/>
        <v>21445790</v>
      </c>
      <c r="O109" s="10">
        <f t="shared" si="16"/>
        <v>18945790</v>
      </c>
      <c r="P109" s="10">
        <f t="shared" si="2"/>
        <v>52123093</v>
      </c>
    </row>
    <row r="110" spans="1:16" hidden="1"/>
    <row r="111" spans="1:16" hidden="1"/>
    <row r="112" spans="1:16" hidden="1">
      <c r="B112" s="2" t="s">
        <v>94</v>
      </c>
      <c r="I112" s="2" t="s">
        <v>95</v>
      </c>
    </row>
    <row r="113" spans="1:16" hidden="1"/>
    <row r="114" spans="1:16" hidden="1"/>
    <row r="115" spans="1:16" hidden="1">
      <c r="A115" s="3" t="s">
        <v>96</v>
      </c>
    </row>
    <row r="116" spans="1:16" hidden="1">
      <c r="A116" s="3" t="s">
        <v>97</v>
      </c>
    </row>
    <row r="117" spans="1:16" hidden="1">
      <c r="A117" s="3" t="s">
        <v>98</v>
      </c>
    </row>
    <row r="118" spans="1:16" hidden="1">
      <c r="A118" s="3" t="s">
        <v>99</v>
      </c>
    </row>
    <row r="119" spans="1:16" hidden="1">
      <c r="A119" t="s">
        <v>0</v>
      </c>
      <c r="M119" t="s">
        <v>1</v>
      </c>
    </row>
    <row r="120" spans="1:16" hidden="1">
      <c r="M120" t="s">
        <v>117</v>
      </c>
    </row>
    <row r="121" spans="1:16" hidden="1"/>
    <row r="122" spans="1:16" hidden="1"/>
    <row r="123" spans="1:16" hidden="1">
      <c r="A123" s="92" t="s">
        <v>2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1:16" hidden="1">
      <c r="A124" s="92" t="s">
        <v>3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1:16" hidden="1">
      <c r="P125" s="1" t="s">
        <v>4</v>
      </c>
    </row>
    <row r="126" spans="1:16" hidden="1">
      <c r="A126" s="94" t="s">
        <v>5</v>
      </c>
      <c r="B126" s="94" t="s">
        <v>6</v>
      </c>
      <c r="C126" s="94" t="s">
        <v>7</v>
      </c>
      <c r="D126" s="95" t="s">
        <v>8</v>
      </c>
      <c r="E126" s="95" t="s">
        <v>9</v>
      </c>
      <c r="F126" s="95"/>
      <c r="G126" s="95"/>
      <c r="H126" s="95"/>
      <c r="I126" s="95"/>
      <c r="J126" s="95" t="s">
        <v>16</v>
      </c>
      <c r="K126" s="95"/>
      <c r="L126" s="95"/>
      <c r="M126" s="95"/>
      <c r="N126" s="95"/>
      <c r="O126" s="95"/>
      <c r="P126" s="96" t="s">
        <v>18</v>
      </c>
    </row>
    <row r="127" spans="1:16" hidden="1">
      <c r="A127" s="95"/>
      <c r="B127" s="95"/>
      <c r="C127" s="95"/>
      <c r="D127" s="95"/>
      <c r="E127" s="96" t="s">
        <v>10</v>
      </c>
      <c r="F127" s="95" t="s">
        <v>11</v>
      </c>
      <c r="G127" s="95" t="s">
        <v>12</v>
      </c>
      <c r="H127" s="95"/>
      <c r="I127" s="95" t="s">
        <v>15</v>
      </c>
      <c r="J127" s="96" t="s">
        <v>10</v>
      </c>
      <c r="K127" s="95" t="s">
        <v>11</v>
      </c>
      <c r="L127" s="95" t="s">
        <v>12</v>
      </c>
      <c r="M127" s="95"/>
      <c r="N127" s="95" t="s">
        <v>15</v>
      </c>
      <c r="O127" s="24" t="s">
        <v>12</v>
      </c>
      <c r="P127" s="95"/>
    </row>
    <row r="128" spans="1:16" hidden="1">
      <c r="A128" s="95"/>
      <c r="B128" s="95"/>
      <c r="C128" s="95"/>
      <c r="D128" s="95"/>
      <c r="E128" s="95"/>
      <c r="F128" s="95"/>
      <c r="G128" s="95" t="s">
        <v>13</v>
      </c>
      <c r="H128" s="95" t="s">
        <v>14</v>
      </c>
      <c r="I128" s="95"/>
      <c r="J128" s="95"/>
      <c r="K128" s="95"/>
      <c r="L128" s="95" t="s">
        <v>13</v>
      </c>
      <c r="M128" s="95" t="s">
        <v>14</v>
      </c>
      <c r="N128" s="95"/>
      <c r="O128" s="95" t="s">
        <v>17</v>
      </c>
      <c r="P128" s="95"/>
    </row>
    <row r="129" spans="1:16" hidden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1:16" hidden="1">
      <c r="A130" s="24">
        <v>1</v>
      </c>
      <c r="B130" s="24">
        <v>2</v>
      </c>
      <c r="C130" s="24">
        <v>3</v>
      </c>
      <c r="D130" s="24">
        <v>4</v>
      </c>
      <c r="E130" s="25">
        <v>5</v>
      </c>
      <c r="F130" s="24">
        <v>6</v>
      </c>
      <c r="G130" s="24">
        <v>7</v>
      </c>
      <c r="H130" s="24">
        <v>8</v>
      </c>
      <c r="I130" s="24">
        <v>9</v>
      </c>
      <c r="J130" s="25">
        <v>10</v>
      </c>
      <c r="K130" s="24">
        <v>11</v>
      </c>
      <c r="L130" s="24">
        <v>12</v>
      </c>
      <c r="M130" s="24">
        <v>13</v>
      </c>
      <c r="N130" s="24">
        <v>14</v>
      </c>
      <c r="O130" s="24">
        <v>15</v>
      </c>
      <c r="P130" s="25">
        <v>16</v>
      </c>
    </row>
    <row r="131" spans="1:16" ht="76.5" hidden="1">
      <c r="A131" s="6" t="s">
        <v>19</v>
      </c>
      <c r="B131" s="7"/>
      <c r="C131" s="8"/>
      <c r="D131" s="9" t="s">
        <v>20</v>
      </c>
      <c r="E131" s="10">
        <f t="shared" ref="E131:O131" si="17">E132+E134+E137+E140+E143+E146+E150+E152+E155+E158+E160+E164+E166+E170</f>
        <v>25697186</v>
      </c>
      <c r="F131" s="10">
        <f t="shared" si="17"/>
        <v>25225186</v>
      </c>
      <c r="G131" s="10">
        <f t="shared" si="17"/>
        <v>5131124</v>
      </c>
      <c r="H131" s="10">
        <f t="shared" si="17"/>
        <v>2525537</v>
      </c>
      <c r="I131" s="10">
        <f t="shared" si="17"/>
        <v>382000</v>
      </c>
      <c r="J131" s="10">
        <f t="shared" si="17"/>
        <v>22243790</v>
      </c>
      <c r="K131" s="10">
        <f t="shared" si="17"/>
        <v>558000</v>
      </c>
      <c r="L131" s="10">
        <f t="shared" si="17"/>
        <v>0</v>
      </c>
      <c r="M131" s="10">
        <f t="shared" si="17"/>
        <v>0</v>
      </c>
      <c r="N131" s="10">
        <f t="shared" si="17"/>
        <v>21685790</v>
      </c>
      <c r="O131" s="10">
        <f t="shared" si="17"/>
        <v>19185790</v>
      </c>
      <c r="P131" s="10">
        <f t="shared" ref="P131:P175" si="18">E131+J131</f>
        <v>47940976</v>
      </c>
    </row>
    <row r="132" spans="1:16" hidden="1">
      <c r="A132" s="7"/>
      <c r="B132" s="6" t="s">
        <v>21</v>
      </c>
      <c r="C132" s="8"/>
      <c r="D132" s="11" t="s">
        <v>22</v>
      </c>
      <c r="E132" s="10">
        <f t="shared" ref="E132:O132" si="19">E133</f>
        <v>6036758</v>
      </c>
      <c r="F132" s="11">
        <f t="shared" si="19"/>
        <v>6036758</v>
      </c>
      <c r="G132" s="11">
        <f t="shared" si="19"/>
        <v>3049930</v>
      </c>
      <c r="H132" s="11">
        <f t="shared" si="19"/>
        <v>826843</v>
      </c>
      <c r="I132" s="11">
        <f t="shared" si="19"/>
        <v>0</v>
      </c>
      <c r="J132" s="10">
        <f t="shared" si="19"/>
        <v>85000</v>
      </c>
      <c r="K132" s="11">
        <f t="shared" si="19"/>
        <v>35000</v>
      </c>
      <c r="L132" s="11">
        <f t="shared" si="19"/>
        <v>0</v>
      </c>
      <c r="M132" s="11">
        <f t="shared" si="19"/>
        <v>0</v>
      </c>
      <c r="N132" s="11">
        <f t="shared" si="19"/>
        <v>50000</v>
      </c>
      <c r="O132" s="11">
        <f t="shared" si="19"/>
        <v>50000</v>
      </c>
      <c r="P132" s="10">
        <f t="shared" si="18"/>
        <v>6121758</v>
      </c>
    </row>
    <row r="133" spans="1:16" ht="63.75" hidden="1">
      <c r="A133" s="24"/>
      <c r="B133" s="12" t="s">
        <v>24</v>
      </c>
      <c r="C133" s="13" t="s">
        <v>23</v>
      </c>
      <c r="D133" s="14" t="s">
        <v>25</v>
      </c>
      <c r="E133" s="15">
        <f>F133+I133</f>
        <v>6036758</v>
      </c>
      <c r="F133" s="14">
        <f>5623415+160000+150000+103343</f>
        <v>6036758</v>
      </c>
      <c r="G133" s="14">
        <v>3049930</v>
      </c>
      <c r="H133" s="14">
        <f>548500+150000+128343</f>
        <v>826843</v>
      </c>
      <c r="I133" s="14">
        <v>0</v>
      </c>
      <c r="J133" s="15">
        <f>K133+N133</f>
        <v>85000</v>
      </c>
      <c r="K133" s="14">
        <v>35000</v>
      </c>
      <c r="L133" s="14">
        <v>0</v>
      </c>
      <c r="M133" s="14">
        <v>0</v>
      </c>
      <c r="N133" s="14">
        <v>50000</v>
      </c>
      <c r="O133" s="14">
        <v>50000</v>
      </c>
      <c r="P133" s="15">
        <f t="shared" si="18"/>
        <v>6121758</v>
      </c>
    </row>
    <row r="134" spans="1:16" hidden="1">
      <c r="A134" s="7"/>
      <c r="B134" s="6" t="s">
        <v>26</v>
      </c>
      <c r="C134" s="8"/>
      <c r="D134" s="11" t="s">
        <v>27</v>
      </c>
      <c r="E134" s="10">
        <f t="shared" ref="E134:O134" si="20">E135+E136</f>
        <v>540000</v>
      </c>
      <c r="F134" s="11">
        <f t="shared" si="20"/>
        <v>540000</v>
      </c>
      <c r="G134" s="11">
        <f t="shared" si="20"/>
        <v>0</v>
      </c>
      <c r="H134" s="11">
        <f t="shared" si="20"/>
        <v>0</v>
      </c>
      <c r="I134" s="11">
        <f t="shared" si="20"/>
        <v>0</v>
      </c>
      <c r="J134" s="10">
        <f t="shared" si="20"/>
        <v>300000</v>
      </c>
      <c r="K134" s="11">
        <f t="shared" si="20"/>
        <v>0</v>
      </c>
      <c r="L134" s="11">
        <f t="shared" si="20"/>
        <v>0</v>
      </c>
      <c r="M134" s="11">
        <f t="shared" si="20"/>
        <v>0</v>
      </c>
      <c r="N134" s="11">
        <f t="shared" si="20"/>
        <v>300000</v>
      </c>
      <c r="O134" s="11">
        <f t="shared" si="20"/>
        <v>300000</v>
      </c>
      <c r="P134" s="10">
        <f t="shared" si="18"/>
        <v>840000</v>
      </c>
    </row>
    <row r="135" spans="1:16" ht="51" hidden="1">
      <c r="A135" s="24"/>
      <c r="B135" s="12" t="s">
        <v>29</v>
      </c>
      <c r="C135" s="13" t="s">
        <v>28</v>
      </c>
      <c r="D135" s="14" t="s">
        <v>30</v>
      </c>
      <c r="E135" s="15">
        <f>F135+I135</f>
        <v>200000</v>
      </c>
      <c r="F135" s="14">
        <v>200000</v>
      </c>
      <c r="G135" s="14"/>
      <c r="H135" s="14"/>
      <c r="I135" s="14">
        <v>0</v>
      </c>
      <c r="J135" s="15">
        <f>K135+N135</f>
        <v>300000</v>
      </c>
      <c r="K135" s="14">
        <v>0</v>
      </c>
      <c r="L135" s="14">
        <v>0</v>
      </c>
      <c r="M135" s="14">
        <v>0</v>
      </c>
      <c r="N135" s="14">
        <v>300000</v>
      </c>
      <c r="O135" s="14">
        <v>300000</v>
      </c>
      <c r="P135" s="15">
        <f t="shared" si="18"/>
        <v>500000</v>
      </c>
    </row>
    <row r="136" spans="1:16" hidden="1">
      <c r="A136" s="24"/>
      <c r="B136" s="12" t="s">
        <v>32</v>
      </c>
      <c r="C136" s="13" t="s">
        <v>31</v>
      </c>
      <c r="D136" s="14" t="s">
        <v>33</v>
      </c>
      <c r="E136" s="15">
        <f>F136+I136</f>
        <v>340000</v>
      </c>
      <c r="F136" s="14">
        <v>340000</v>
      </c>
      <c r="G136" s="14">
        <v>0</v>
      </c>
      <c r="H136" s="14">
        <v>0</v>
      </c>
      <c r="I136" s="14">
        <v>0</v>
      </c>
      <c r="J136" s="15">
        <f>K136+N136</f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f t="shared" si="18"/>
        <v>340000</v>
      </c>
    </row>
    <row r="137" spans="1:16" hidden="1">
      <c r="A137" s="7"/>
      <c r="B137" s="6" t="s">
        <v>34</v>
      </c>
      <c r="C137" s="8"/>
      <c r="D137" s="11" t="s">
        <v>35</v>
      </c>
      <c r="E137" s="10">
        <f t="shared" ref="E137:O137" si="21">E138+E139</f>
        <v>1031000</v>
      </c>
      <c r="F137" s="11">
        <f t="shared" si="21"/>
        <v>1031000</v>
      </c>
      <c r="G137" s="11">
        <f t="shared" si="21"/>
        <v>5738</v>
      </c>
      <c r="H137" s="11">
        <f t="shared" si="21"/>
        <v>0</v>
      </c>
      <c r="I137" s="11">
        <f t="shared" si="21"/>
        <v>0</v>
      </c>
      <c r="J137" s="23">
        <f t="shared" si="21"/>
        <v>0</v>
      </c>
      <c r="K137" s="11">
        <f t="shared" si="21"/>
        <v>0</v>
      </c>
      <c r="L137" s="11">
        <f t="shared" si="21"/>
        <v>0</v>
      </c>
      <c r="M137" s="11">
        <f t="shared" si="21"/>
        <v>0</v>
      </c>
      <c r="N137" s="11">
        <f t="shared" si="21"/>
        <v>0</v>
      </c>
      <c r="O137" s="11">
        <f t="shared" si="21"/>
        <v>0</v>
      </c>
      <c r="P137" s="10">
        <f t="shared" si="18"/>
        <v>1031000</v>
      </c>
    </row>
    <row r="138" spans="1:16" hidden="1">
      <c r="A138" s="7"/>
      <c r="B138" s="20">
        <v>3240</v>
      </c>
      <c r="C138" s="13" t="s">
        <v>105</v>
      </c>
      <c r="D138" s="21" t="s">
        <v>106</v>
      </c>
      <c r="E138" s="22">
        <f>F138+I138</f>
        <v>7000</v>
      </c>
      <c r="F138" s="21">
        <v>7000</v>
      </c>
      <c r="G138" s="21">
        <v>5738</v>
      </c>
      <c r="H138" s="21">
        <v>0</v>
      </c>
      <c r="I138" s="21">
        <v>0</v>
      </c>
      <c r="J138" s="22">
        <f>K138+N138</f>
        <v>0</v>
      </c>
      <c r="K138" s="11"/>
      <c r="L138" s="11"/>
      <c r="M138" s="11"/>
      <c r="N138" s="11"/>
      <c r="O138" s="11"/>
      <c r="P138" s="15">
        <f t="shared" si="18"/>
        <v>7000</v>
      </c>
    </row>
    <row r="139" spans="1:16" hidden="1">
      <c r="A139" s="24"/>
      <c r="B139" s="12" t="s">
        <v>37</v>
      </c>
      <c r="C139" s="13" t="s">
        <v>36</v>
      </c>
      <c r="D139" s="14" t="s">
        <v>38</v>
      </c>
      <c r="E139" s="15">
        <f>F139+I139</f>
        <v>1024000</v>
      </c>
      <c r="F139" s="14">
        <f>781000+243000</f>
        <v>1024000</v>
      </c>
      <c r="G139" s="14">
        <v>0</v>
      </c>
      <c r="H139" s="14">
        <v>0</v>
      </c>
      <c r="I139" s="14">
        <v>0</v>
      </c>
      <c r="J139" s="15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5">
        <f t="shared" si="18"/>
        <v>1024000</v>
      </c>
    </row>
    <row r="140" spans="1:16" hidden="1">
      <c r="A140" s="7"/>
      <c r="B140" s="6" t="s">
        <v>39</v>
      </c>
      <c r="C140" s="8"/>
      <c r="D140" s="11" t="s">
        <v>40</v>
      </c>
      <c r="E140" s="10">
        <f t="shared" ref="E140:O140" si="22">E141+E142</f>
        <v>4694341</v>
      </c>
      <c r="F140" s="11">
        <f t="shared" si="22"/>
        <v>4694341</v>
      </c>
      <c r="G140" s="11">
        <f t="shared" si="22"/>
        <v>2075456</v>
      </c>
      <c r="H140" s="11">
        <f t="shared" si="22"/>
        <v>879284</v>
      </c>
      <c r="I140" s="11">
        <f t="shared" si="22"/>
        <v>0</v>
      </c>
      <c r="J140" s="10">
        <f t="shared" si="22"/>
        <v>535000</v>
      </c>
      <c r="K140" s="11">
        <f t="shared" si="22"/>
        <v>5000</v>
      </c>
      <c r="L140" s="11">
        <f t="shared" si="22"/>
        <v>0</v>
      </c>
      <c r="M140" s="11">
        <f t="shared" si="22"/>
        <v>0</v>
      </c>
      <c r="N140" s="11">
        <f t="shared" si="22"/>
        <v>530000</v>
      </c>
      <c r="O140" s="11">
        <f t="shared" si="22"/>
        <v>530000</v>
      </c>
      <c r="P140" s="10">
        <f t="shared" si="18"/>
        <v>5229341</v>
      </c>
    </row>
    <row r="141" spans="1:16" hidden="1">
      <c r="A141" s="24"/>
      <c r="B141" s="12" t="s">
        <v>42</v>
      </c>
      <c r="C141" s="13" t="s">
        <v>41</v>
      </c>
      <c r="D141" s="14" t="s">
        <v>43</v>
      </c>
      <c r="E141" s="15">
        <f>F141+I141</f>
        <v>244486</v>
      </c>
      <c r="F141" s="14">
        <v>244486</v>
      </c>
      <c r="G141" s="14">
        <v>195480</v>
      </c>
      <c r="H141" s="14">
        <v>0</v>
      </c>
      <c r="I141" s="14">
        <v>0</v>
      </c>
      <c r="J141" s="15">
        <f>K141+N141</f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5">
        <f t="shared" si="18"/>
        <v>244486</v>
      </c>
    </row>
    <row r="142" spans="1:16" ht="25.5" hidden="1">
      <c r="A142" s="24"/>
      <c r="B142" s="12" t="s">
        <v>45</v>
      </c>
      <c r="C142" s="13" t="s">
        <v>44</v>
      </c>
      <c r="D142" s="14" t="s">
        <v>46</v>
      </c>
      <c r="E142" s="15">
        <f>F142+I142</f>
        <v>4449855</v>
      </c>
      <c r="F142" s="14">
        <f>3953075+400000+96780</f>
        <v>4449855</v>
      </c>
      <c r="G142" s="14">
        <v>1879976</v>
      </c>
      <c r="H142" s="14">
        <f>770504+108780</f>
        <v>879284</v>
      </c>
      <c r="I142" s="14">
        <v>0</v>
      </c>
      <c r="J142" s="15">
        <f>K142+N142</f>
        <v>535000</v>
      </c>
      <c r="K142" s="14">
        <v>5000</v>
      </c>
      <c r="L142" s="14">
        <v>0</v>
      </c>
      <c r="M142" s="14">
        <v>0</v>
      </c>
      <c r="N142" s="14">
        <f>45000+235000+300000-50000</f>
        <v>530000</v>
      </c>
      <c r="O142" s="14">
        <f>45000+235000+300000-50000</f>
        <v>530000</v>
      </c>
      <c r="P142" s="15">
        <f t="shared" si="18"/>
        <v>4984855</v>
      </c>
    </row>
    <row r="143" spans="1:16" hidden="1">
      <c r="A143" s="7"/>
      <c r="B143" s="6" t="s">
        <v>47</v>
      </c>
      <c r="C143" s="8"/>
      <c r="D143" s="11" t="s">
        <v>48</v>
      </c>
      <c r="E143" s="10">
        <f t="shared" ref="E143:O143" si="23">E144</f>
        <v>2578300</v>
      </c>
      <c r="F143" s="11">
        <f t="shared" si="23"/>
        <v>2578300</v>
      </c>
      <c r="G143" s="11">
        <f t="shared" si="23"/>
        <v>0</v>
      </c>
      <c r="H143" s="11">
        <f t="shared" si="23"/>
        <v>0</v>
      </c>
      <c r="I143" s="11">
        <f t="shared" si="23"/>
        <v>0</v>
      </c>
      <c r="J143" s="10">
        <f t="shared" si="23"/>
        <v>1173700</v>
      </c>
      <c r="K143" s="11">
        <f t="shared" si="23"/>
        <v>0</v>
      </c>
      <c r="L143" s="11">
        <f t="shared" si="23"/>
        <v>0</v>
      </c>
      <c r="M143" s="11">
        <f t="shared" si="23"/>
        <v>0</v>
      </c>
      <c r="N143" s="11">
        <f t="shared" si="23"/>
        <v>1173700</v>
      </c>
      <c r="O143" s="11">
        <f t="shared" si="23"/>
        <v>1173700</v>
      </c>
      <c r="P143" s="10">
        <f t="shared" si="18"/>
        <v>3752000</v>
      </c>
    </row>
    <row r="144" spans="1:16" ht="38.25" hidden="1">
      <c r="A144" s="24"/>
      <c r="B144" s="12">
        <v>5032</v>
      </c>
      <c r="C144" s="13" t="s">
        <v>49</v>
      </c>
      <c r="D144" s="14" t="s">
        <v>51</v>
      </c>
      <c r="E144" s="15">
        <f>F144+I144</f>
        <v>2578300</v>
      </c>
      <c r="F144" s="14">
        <v>2578300</v>
      </c>
      <c r="G144" s="14">
        <v>0</v>
      </c>
      <c r="H144" s="14">
        <v>0</v>
      </c>
      <c r="I144" s="14">
        <v>0</v>
      </c>
      <c r="J144" s="15">
        <f>K144+N144</f>
        <v>1173700</v>
      </c>
      <c r="K144" s="14">
        <v>0</v>
      </c>
      <c r="L144" s="14">
        <v>0</v>
      </c>
      <c r="M144" s="14">
        <v>0</v>
      </c>
      <c r="N144" s="14">
        <f>873700+300000</f>
        <v>1173700</v>
      </c>
      <c r="O144" s="14">
        <f>873700+300000</f>
        <v>1173700</v>
      </c>
      <c r="P144" s="15">
        <f t="shared" si="18"/>
        <v>3752000</v>
      </c>
    </row>
    <row r="145" spans="1:16" hidden="1">
      <c r="A145" s="24"/>
      <c r="B145" s="12"/>
      <c r="C145" s="13"/>
      <c r="D145" s="11" t="s">
        <v>107</v>
      </c>
      <c r="E145" s="15">
        <f>F145+I145</f>
        <v>2578300</v>
      </c>
      <c r="F145" s="14">
        <v>2578300</v>
      </c>
      <c r="G145" s="14">
        <v>0</v>
      </c>
      <c r="H145" s="14">
        <v>0</v>
      </c>
      <c r="I145" s="14">
        <v>0</v>
      </c>
      <c r="J145" s="15">
        <f>K145+N145</f>
        <v>1173700</v>
      </c>
      <c r="K145" s="14">
        <v>0</v>
      </c>
      <c r="L145" s="14">
        <v>0</v>
      </c>
      <c r="M145" s="14">
        <v>0</v>
      </c>
      <c r="N145" s="14">
        <f>873700+300000</f>
        <v>1173700</v>
      </c>
      <c r="O145" s="14">
        <f>873700+300000</f>
        <v>1173700</v>
      </c>
      <c r="P145" s="15">
        <f t="shared" si="18"/>
        <v>3752000</v>
      </c>
    </row>
    <row r="146" spans="1:16" hidden="1">
      <c r="A146" s="7"/>
      <c r="B146" s="6" t="s">
        <v>52</v>
      </c>
      <c r="C146" s="8"/>
      <c r="D146" s="11" t="s">
        <v>53</v>
      </c>
      <c r="E146" s="10">
        <f t="shared" ref="E146:O146" si="24">E147+E149</f>
        <v>5724877</v>
      </c>
      <c r="F146" s="11">
        <f t="shared" si="24"/>
        <v>5642877</v>
      </c>
      <c r="G146" s="11">
        <f t="shared" si="24"/>
        <v>0</v>
      </c>
      <c r="H146" s="11">
        <f t="shared" si="24"/>
        <v>819410</v>
      </c>
      <c r="I146" s="11">
        <f t="shared" si="24"/>
        <v>82000</v>
      </c>
      <c r="J146" s="10">
        <f t="shared" si="24"/>
        <v>4090000</v>
      </c>
      <c r="K146" s="11">
        <f t="shared" si="24"/>
        <v>0</v>
      </c>
      <c r="L146" s="11">
        <f t="shared" si="24"/>
        <v>0</v>
      </c>
      <c r="M146" s="11">
        <f t="shared" si="24"/>
        <v>0</v>
      </c>
      <c r="N146" s="11">
        <f t="shared" si="24"/>
        <v>4090000</v>
      </c>
      <c r="O146" s="11">
        <f t="shared" si="24"/>
        <v>4090000</v>
      </c>
      <c r="P146" s="10">
        <f t="shared" si="18"/>
        <v>9814877</v>
      </c>
    </row>
    <row r="147" spans="1:16" ht="25.5" hidden="1">
      <c r="A147" s="7"/>
      <c r="B147" s="20">
        <v>6052</v>
      </c>
      <c r="C147" s="13" t="s">
        <v>54</v>
      </c>
      <c r="D147" s="21" t="s">
        <v>108</v>
      </c>
      <c r="E147" s="10">
        <f>F147+I147</f>
        <v>142000</v>
      </c>
      <c r="F147" s="21">
        <v>60000</v>
      </c>
      <c r="G147" s="21">
        <v>0</v>
      </c>
      <c r="H147" s="21">
        <v>0</v>
      </c>
      <c r="I147" s="21">
        <f>442000-360000</f>
        <v>82000</v>
      </c>
      <c r="J147" s="10">
        <f>K147+N147</f>
        <v>960000</v>
      </c>
      <c r="K147" s="21">
        <v>0</v>
      </c>
      <c r="L147" s="21">
        <v>0</v>
      </c>
      <c r="M147" s="21">
        <v>0</v>
      </c>
      <c r="N147" s="21">
        <v>960000</v>
      </c>
      <c r="O147" s="21">
        <v>960000</v>
      </c>
      <c r="P147" s="15">
        <f t="shared" si="18"/>
        <v>1102000</v>
      </c>
    </row>
    <row r="148" spans="1:16" hidden="1">
      <c r="A148" s="7"/>
      <c r="B148" s="20"/>
      <c r="C148" s="13"/>
      <c r="D148" s="11" t="s">
        <v>109</v>
      </c>
      <c r="E148" s="10">
        <f>F148+I148</f>
        <v>82000</v>
      </c>
      <c r="F148" s="21">
        <v>0</v>
      </c>
      <c r="G148" s="21">
        <v>0</v>
      </c>
      <c r="H148" s="21">
        <v>0</v>
      </c>
      <c r="I148" s="21">
        <f>442000-360000</f>
        <v>82000</v>
      </c>
      <c r="J148" s="10">
        <f>K148+N148</f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15">
        <f t="shared" si="18"/>
        <v>82000</v>
      </c>
    </row>
    <row r="149" spans="1:16" hidden="1">
      <c r="A149" s="24"/>
      <c r="B149" s="12" t="s">
        <v>55</v>
      </c>
      <c r="C149" s="13" t="s">
        <v>54</v>
      </c>
      <c r="D149" s="14" t="s">
        <v>56</v>
      </c>
      <c r="E149" s="15">
        <f>F149+I149</f>
        <v>5582877</v>
      </c>
      <c r="F149" s="14">
        <f>5429000+150000+200000-196123</f>
        <v>5582877</v>
      </c>
      <c r="G149" s="14">
        <v>0</v>
      </c>
      <c r="H149" s="14">
        <f>575000+150000+94410</f>
        <v>819410</v>
      </c>
      <c r="I149" s="14">
        <v>0</v>
      </c>
      <c r="J149" s="15">
        <f>K149+N149</f>
        <v>3130000</v>
      </c>
      <c r="K149" s="14">
        <v>0</v>
      </c>
      <c r="L149" s="14">
        <v>0</v>
      </c>
      <c r="M149" s="14">
        <v>0</v>
      </c>
      <c r="N149" s="14">
        <f>200000+2880000+50000</f>
        <v>3130000</v>
      </c>
      <c r="O149" s="14">
        <f>200000+2880000+50000</f>
        <v>3130000</v>
      </c>
      <c r="P149" s="15">
        <f t="shared" si="18"/>
        <v>8712877</v>
      </c>
    </row>
    <row r="150" spans="1:16" hidden="1">
      <c r="A150" s="7"/>
      <c r="B150" s="6" t="s">
        <v>57</v>
      </c>
      <c r="C150" s="8"/>
      <c r="D150" s="11" t="s">
        <v>58</v>
      </c>
      <c r="E150" s="10">
        <f>E151</f>
        <v>0</v>
      </c>
      <c r="F150" s="11">
        <f>F151</f>
        <v>0</v>
      </c>
      <c r="G150" s="11">
        <f>G151</f>
        <v>0</v>
      </c>
      <c r="H150" s="11">
        <f>H151</f>
        <v>0</v>
      </c>
      <c r="I150" s="11">
        <f>I151</f>
        <v>0</v>
      </c>
      <c r="J150" s="10">
        <f>K150+N150</f>
        <v>4800000</v>
      </c>
      <c r="K150" s="11">
        <f>K151</f>
        <v>0</v>
      </c>
      <c r="L150" s="11">
        <f>L151</f>
        <v>0</v>
      </c>
      <c r="M150" s="11">
        <f>M151</f>
        <v>0</v>
      </c>
      <c r="N150" s="11">
        <f>N151</f>
        <v>4800000</v>
      </c>
      <c r="O150" s="11">
        <f>O151</f>
        <v>4800000</v>
      </c>
      <c r="P150" s="10">
        <f t="shared" si="18"/>
        <v>4800000</v>
      </c>
    </row>
    <row r="151" spans="1:16" ht="25.5" hidden="1">
      <c r="A151" s="24"/>
      <c r="B151" s="12" t="s">
        <v>60</v>
      </c>
      <c r="C151" s="13" t="s">
        <v>59</v>
      </c>
      <c r="D151" s="14" t="s">
        <v>61</v>
      </c>
      <c r="E151" s="15">
        <f>F151+I151</f>
        <v>0</v>
      </c>
      <c r="F151" s="14">
        <v>0</v>
      </c>
      <c r="G151" s="14">
        <v>0</v>
      </c>
      <c r="H151" s="14">
        <v>0</v>
      </c>
      <c r="I151" s="14">
        <v>0</v>
      </c>
      <c r="J151" s="15">
        <f>K151+N151</f>
        <v>4800000</v>
      </c>
      <c r="K151" s="14">
        <v>0</v>
      </c>
      <c r="L151" s="14">
        <v>0</v>
      </c>
      <c r="M151" s="14">
        <v>0</v>
      </c>
      <c r="N151" s="14">
        <f>2000000+2800000</f>
        <v>4800000</v>
      </c>
      <c r="O151" s="14">
        <f>2000000+2800000</f>
        <v>4800000</v>
      </c>
      <c r="P151" s="15">
        <f t="shared" si="18"/>
        <v>4800000</v>
      </c>
    </row>
    <row r="152" spans="1:16" ht="25.5" hidden="1">
      <c r="A152" s="7"/>
      <c r="B152" s="6" t="s">
        <v>62</v>
      </c>
      <c r="C152" s="8"/>
      <c r="D152" s="11" t="s">
        <v>63</v>
      </c>
      <c r="E152" s="10">
        <f t="shared" ref="E152:O152" si="25">E153</f>
        <v>700000</v>
      </c>
      <c r="F152" s="11">
        <f t="shared" si="25"/>
        <v>400000</v>
      </c>
      <c r="G152" s="11">
        <f t="shared" si="25"/>
        <v>0</v>
      </c>
      <c r="H152" s="11">
        <f t="shared" si="25"/>
        <v>0</v>
      </c>
      <c r="I152" s="11">
        <f t="shared" si="25"/>
        <v>300000</v>
      </c>
      <c r="J152" s="10">
        <f t="shared" si="25"/>
        <v>2177090</v>
      </c>
      <c r="K152" s="11">
        <f t="shared" si="25"/>
        <v>0</v>
      </c>
      <c r="L152" s="11">
        <f t="shared" si="25"/>
        <v>0</v>
      </c>
      <c r="M152" s="11">
        <f t="shared" si="25"/>
        <v>0</v>
      </c>
      <c r="N152" s="11">
        <f t="shared" si="25"/>
        <v>2177090</v>
      </c>
      <c r="O152" s="11">
        <f t="shared" si="25"/>
        <v>2177090</v>
      </c>
      <c r="P152" s="10">
        <f t="shared" si="18"/>
        <v>2877090</v>
      </c>
    </row>
    <row r="153" spans="1:16" hidden="1">
      <c r="A153" s="24"/>
      <c r="B153" s="12" t="s">
        <v>65</v>
      </c>
      <c r="C153" s="13" t="s">
        <v>64</v>
      </c>
      <c r="D153" s="14" t="s">
        <v>66</v>
      </c>
      <c r="E153" s="15">
        <f>F153+I153</f>
        <v>700000</v>
      </c>
      <c r="F153" s="14">
        <f>300000+150000-50000</f>
        <v>400000</v>
      </c>
      <c r="G153" s="14">
        <v>0</v>
      </c>
      <c r="H153" s="14">
        <v>0</v>
      </c>
      <c r="I153" s="14">
        <f>100000+150000+50000</f>
        <v>300000</v>
      </c>
      <c r="J153" s="15">
        <f>K153+N153</f>
        <v>2177090</v>
      </c>
      <c r="K153" s="14">
        <v>0</v>
      </c>
      <c r="L153" s="14">
        <v>0</v>
      </c>
      <c r="M153" s="14">
        <v>0</v>
      </c>
      <c r="N153" s="14">
        <f>1000000+1177090</f>
        <v>2177090</v>
      </c>
      <c r="O153" s="14">
        <f>1000000+1177090</f>
        <v>2177090</v>
      </c>
      <c r="P153" s="15">
        <f t="shared" si="18"/>
        <v>2877090</v>
      </c>
    </row>
    <row r="154" spans="1:16" hidden="1">
      <c r="A154" s="24"/>
      <c r="B154" s="12"/>
      <c r="C154" s="13"/>
      <c r="D154" s="11" t="s">
        <v>110</v>
      </c>
      <c r="E154" s="15">
        <f>F154+I154</f>
        <v>300000</v>
      </c>
      <c r="F154" s="14">
        <v>0</v>
      </c>
      <c r="G154" s="14">
        <v>0</v>
      </c>
      <c r="H154" s="14">
        <v>0</v>
      </c>
      <c r="I154" s="14">
        <f>100000+150000+50000</f>
        <v>300000</v>
      </c>
      <c r="J154" s="15">
        <f>K154+N154</f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5">
        <f t="shared" si="18"/>
        <v>300000</v>
      </c>
    </row>
    <row r="155" spans="1:16" hidden="1">
      <c r="A155" s="7"/>
      <c r="B155" s="6" t="s">
        <v>67</v>
      </c>
      <c r="C155" s="8"/>
      <c r="D155" s="11" t="s">
        <v>68</v>
      </c>
      <c r="E155" s="10">
        <f t="shared" ref="E155:O155" si="26">E156</f>
        <v>200000</v>
      </c>
      <c r="F155" s="11">
        <f t="shared" si="26"/>
        <v>200000</v>
      </c>
      <c r="G155" s="11">
        <f t="shared" si="26"/>
        <v>0</v>
      </c>
      <c r="H155" s="11">
        <f t="shared" si="26"/>
        <v>0</v>
      </c>
      <c r="I155" s="11">
        <f t="shared" si="26"/>
        <v>0</v>
      </c>
      <c r="J155" s="10">
        <f t="shared" si="26"/>
        <v>0</v>
      </c>
      <c r="K155" s="11">
        <f t="shared" si="26"/>
        <v>0</v>
      </c>
      <c r="L155" s="11">
        <f t="shared" si="26"/>
        <v>0</v>
      </c>
      <c r="M155" s="11">
        <f t="shared" si="26"/>
        <v>0</v>
      </c>
      <c r="N155" s="11">
        <f t="shared" si="26"/>
        <v>0</v>
      </c>
      <c r="O155" s="11">
        <f t="shared" si="26"/>
        <v>0</v>
      </c>
      <c r="P155" s="10">
        <f t="shared" si="18"/>
        <v>200000</v>
      </c>
    </row>
    <row r="156" spans="1:16" ht="25.5" hidden="1">
      <c r="A156" s="24"/>
      <c r="B156" s="12" t="s">
        <v>70</v>
      </c>
      <c r="C156" s="13" t="s">
        <v>69</v>
      </c>
      <c r="D156" s="14" t="s">
        <v>71</v>
      </c>
      <c r="E156" s="15">
        <f>F156+I156</f>
        <v>200000</v>
      </c>
      <c r="F156" s="14">
        <v>200000</v>
      </c>
      <c r="G156" s="14">
        <v>0</v>
      </c>
      <c r="H156" s="14">
        <v>0</v>
      </c>
      <c r="I156" s="14">
        <v>0</v>
      </c>
      <c r="J156" s="15">
        <f>K156+N156</f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5">
        <f t="shared" si="18"/>
        <v>200000</v>
      </c>
    </row>
    <row r="157" spans="1:16" hidden="1">
      <c r="A157" s="24"/>
      <c r="B157" s="12"/>
      <c r="C157" s="13"/>
      <c r="D157" s="11" t="s">
        <v>111</v>
      </c>
      <c r="E157" s="15">
        <f>F157+I157</f>
        <v>200000</v>
      </c>
      <c r="F157" s="14">
        <v>200000</v>
      </c>
      <c r="G157" s="14">
        <v>0</v>
      </c>
      <c r="H157" s="14">
        <v>0</v>
      </c>
      <c r="I157" s="14">
        <v>0</v>
      </c>
      <c r="J157" s="15">
        <f>K157+N157</f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f t="shared" si="18"/>
        <v>200000</v>
      </c>
    </row>
    <row r="158" spans="1:16" ht="25.5" hidden="1">
      <c r="A158" s="7"/>
      <c r="B158" s="6" t="s">
        <v>72</v>
      </c>
      <c r="C158" s="8"/>
      <c r="D158" s="11" t="s">
        <v>73</v>
      </c>
      <c r="E158" s="10">
        <f t="shared" ref="E158:O158" si="27">E159</f>
        <v>96000</v>
      </c>
      <c r="F158" s="11">
        <f t="shared" si="27"/>
        <v>96000</v>
      </c>
      <c r="G158" s="11">
        <f t="shared" si="27"/>
        <v>0</v>
      </c>
      <c r="H158" s="11">
        <f t="shared" si="27"/>
        <v>0</v>
      </c>
      <c r="I158" s="11">
        <f t="shared" si="27"/>
        <v>0</v>
      </c>
      <c r="J158" s="10">
        <f t="shared" si="27"/>
        <v>500000</v>
      </c>
      <c r="K158" s="11">
        <f t="shared" si="27"/>
        <v>0</v>
      </c>
      <c r="L158" s="11">
        <f t="shared" si="27"/>
        <v>0</v>
      </c>
      <c r="M158" s="11">
        <f t="shared" si="27"/>
        <v>0</v>
      </c>
      <c r="N158" s="11">
        <f t="shared" si="27"/>
        <v>500000</v>
      </c>
      <c r="O158" s="11">
        <f t="shared" si="27"/>
        <v>500000</v>
      </c>
      <c r="P158" s="10">
        <f t="shared" si="18"/>
        <v>596000</v>
      </c>
    </row>
    <row r="159" spans="1:16" hidden="1">
      <c r="A159" s="24"/>
      <c r="B159" s="12" t="s">
        <v>75</v>
      </c>
      <c r="C159" s="13" t="s">
        <v>74</v>
      </c>
      <c r="D159" s="14" t="s">
        <v>76</v>
      </c>
      <c r="E159" s="15">
        <f>F159+I159</f>
        <v>96000</v>
      </c>
      <c r="F159" s="14">
        <f>100000-4000</f>
        <v>96000</v>
      </c>
      <c r="G159" s="14">
        <v>0</v>
      </c>
      <c r="H159" s="14">
        <v>0</v>
      </c>
      <c r="I159" s="14">
        <v>0</v>
      </c>
      <c r="J159" s="15">
        <f>K159+N159</f>
        <v>500000</v>
      </c>
      <c r="K159" s="14">
        <v>0</v>
      </c>
      <c r="L159" s="14">
        <v>0</v>
      </c>
      <c r="M159" s="14">
        <v>0</v>
      </c>
      <c r="N159" s="14">
        <v>500000</v>
      </c>
      <c r="O159" s="14">
        <v>500000</v>
      </c>
      <c r="P159" s="15">
        <f t="shared" si="18"/>
        <v>596000</v>
      </c>
    </row>
    <row r="160" spans="1:16" ht="25.5" hidden="1">
      <c r="A160" s="24"/>
      <c r="B160" s="6">
        <v>7400</v>
      </c>
      <c r="C160" s="13"/>
      <c r="D160" s="11" t="s">
        <v>112</v>
      </c>
      <c r="E160" s="10">
        <f t="shared" ref="E160:O160" si="28">E161</f>
        <v>0</v>
      </c>
      <c r="F160" s="11">
        <f t="shared" si="28"/>
        <v>0</v>
      </c>
      <c r="G160" s="11">
        <f t="shared" si="28"/>
        <v>0</v>
      </c>
      <c r="H160" s="11">
        <f t="shared" si="28"/>
        <v>0</v>
      </c>
      <c r="I160" s="11">
        <f t="shared" si="28"/>
        <v>0</v>
      </c>
      <c r="J160" s="10">
        <f t="shared" si="28"/>
        <v>4990000</v>
      </c>
      <c r="K160" s="11">
        <f t="shared" si="28"/>
        <v>0</v>
      </c>
      <c r="L160" s="11">
        <f t="shared" si="28"/>
        <v>0</v>
      </c>
      <c r="M160" s="11">
        <f t="shared" si="28"/>
        <v>0</v>
      </c>
      <c r="N160" s="11">
        <f t="shared" si="28"/>
        <v>4990000</v>
      </c>
      <c r="O160" s="11">
        <f t="shared" si="28"/>
        <v>4290000</v>
      </c>
      <c r="P160" s="10">
        <f t="shared" si="18"/>
        <v>4990000</v>
      </c>
    </row>
    <row r="161" spans="1:16" ht="25.5" hidden="1">
      <c r="A161" s="24"/>
      <c r="B161" s="12">
        <v>7470</v>
      </c>
      <c r="C161" s="13" t="s">
        <v>59</v>
      </c>
      <c r="D161" s="14" t="s">
        <v>113</v>
      </c>
      <c r="E161" s="15">
        <f>F161+I161</f>
        <v>0</v>
      </c>
      <c r="F161" s="14">
        <v>0</v>
      </c>
      <c r="G161" s="14">
        <v>0</v>
      </c>
      <c r="H161" s="14">
        <v>0</v>
      </c>
      <c r="I161" s="14">
        <v>0</v>
      </c>
      <c r="J161" s="15">
        <f>K161+N161</f>
        <v>4990000</v>
      </c>
      <c r="K161" s="14">
        <v>0</v>
      </c>
      <c r="L161" s="14">
        <v>0</v>
      </c>
      <c r="M161" s="14">
        <v>0</v>
      </c>
      <c r="N161" s="14">
        <f>3730000+700000+560000</f>
        <v>4990000</v>
      </c>
      <c r="O161" s="14">
        <f>3730000+560000</f>
        <v>4290000</v>
      </c>
      <c r="P161" s="15">
        <f t="shared" si="18"/>
        <v>4990000</v>
      </c>
    </row>
    <row r="162" spans="1:16" hidden="1">
      <c r="A162" s="24"/>
      <c r="B162" s="12"/>
      <c r="C162" s="13"/>
      <c r="D162" s="11" t="s">
        <v>109</v>
      </c>
      <c r="E162" s="15">
        <f>F162+I162</f>
        <v>0</v>
      </c>
      <c r="F162" s="14">
        <v>0</v>
      </c>
      <c r="G162" s="14">
        <v>0</v>
      </c>
      <c r="H162" s="14">
        <v>0</v>
      </c>
      <c r="I162" s="14">
        <v>0</v>
      </c>
      <c r="J162" s="15">
        <f>K162+N162</f>
        <v>2590000</v>
      </c>
      <c r="K162" s="14">
        <v>0</v>
      </c>
      <c r="L162" s="14">
        <v>0</v>
      </c>
      <c r="M162" s="14">
        <v>0</v>
      </c>
      <c r="N162" s="14">
        <f>1330000+700000+200000+360000</f>
        <v>2590000</v>
      </c>
      <c r="O162" s="14">
        <f>1330000+200000+360000</f>
        <v>1890000</v>
      </c>
      <c r="P162" s="15">
        <f t="shared" si="18"/>
        <v>2590000</v>
      </c>
    </row>
    <row r="163" spans="1:16" hidden="1">
      <c r="A163" s="24"/>
      <c r="B163" s="12"/>
      <c r="C163" s="13"/>
      <c r="D163" s="11" t="s">
        <v>111</v>
      </c>
      <c r="E163" s="15">
        <f>F163+I163</f>
        <v>0</v>
      </c>
      <c r="F163" s="14">
        <v>0</v>
      </c>
      <c r="G163" s="14">
        <v>0</v>
      </c>
      <c r="H163" s="14">
        <v>0</v>
      </c>
      <c r="I163" s="14">
        <v>0</v>
      </c>
      <c r="J163" s="15">
        <f>K163+N163</f>
        <v>2400000</v>
      </c>
      <c r="K163" s="14">
        <v>0</v>
      </c>
      <c r="L163" s="14">
        <v>0</v>
      </c>
      <c r="M163" s="14">
        <v>0</v>
      </c>
      <c r="N163" s="14">
        <v>2400000</v>
      </c>
      <c r="O163" s="14">
        <v>2400000</v>
      </c>
      <c r="P163" s="15">
        <f t="shared" si="18"/>
        <v>2400000</v>
      </c>
    </row>
    <row r="164" spans="1:16" ht="25.5" hidden="1">
      <c r="A164" s="7"/>
      <c r="B164" s="6" t="s">
        <v>77</v>
      </c>
      <c r="C164" s="8"/>
      <c r="D164" s="11" t="s">
        <v>78</v>
      </c>
      <c r="E164" s="10">
        <f>E165</f>
        <v>0</v>
      </c>
      <c r="F164" s="11">
        <v>0</v>
      </c>
      <c r="G164" s="11">
        <v>0</v>
      </c>
      <c r="H164" s="11">
        <v>0</v>
      </c>
      <c r="I164" s="11">
        <v>0</v>
      </c>
      <c r="J164" s="10">
        <f>J165</f>
        <v>5000</v>
      </c>
      <c r="K164" s="11">
        <v>5000</v>
      </c>
      <c r="L164" s="11">
        <v>0</v>
      </c>
      <c r="M164" s="11">
        <v>0</v>
      </c>
      <c r="N164" s="11">
        <v>0</v>
      </c>
      <c r="O164" s="11">
        <v>0</v>
      </c>
      <c r="P164" s="10">
        <f t="shared" si="18"/>
        <v>5000</v>
      </c>
    </row>
    <row r="165" spans="1:16" hidden="1">
      <c r="A165" s="24"/>
      <c r="B165" s="12" t="s">
        <v>80</v>
      </c>
      <c r="C165" s="13" t="s">
        <v>79</v>
      </c>
      <c r="D165" s="14" t="s">
        <v>81</v>
      </c>
      <c r="E165" s="15">
        <f>F165+I165</f>
        <v>0</v>
      </c>
      <c r="F165" s="14">
        <v>0</v>
      </c>
      <c r="G165" s="14">
        <v>0</v>
      </c>
      <c r="H165" s="14">
        <v>0</v>
      </c>
      <c r="I165" s="14">
        <v>0</v>
      </c>
      <c r="J165" s="15">
        <f>K165+N165</f>
        <v>5000</v>
      </c>
      <c r="K165" s="14">
        <v>5000</v>
      </c>
      <c r="L165" s="14">
        <v>0</v>
      </c>
      <c r="M165" s="14">
        <v>0</v>
      </c>
      <c r="N165" s="14">
        <v>0</v>
      </c>
      <c r="O165" s="14">
        <v>0</v>
      </c>
      <c r="P165" s="15">
        <f t="shared" si="18"/>
        <v>5000</v>
      </c>
    </row>
    <row r="166" spans="1:16" hidden="1">
      <c r="A166" s="7"/>
      <c r="B166" s="6" t="s">
        <v>82</v>
      </c>
      <c r="C166" s="8"/>
      <c r="D166" s="11" t="s">
        <v>83</v>
      </c>
      <c r="E166" s="10">
        <f t="shared" ref="E166:O166" si="29">E167+E168+E169</f>
        <v>4095910</v>
      </c>
      <c r="F166" s="11">
        <f t="shared" si="29"/>
        <v>4005910</v>
      </c>
      <c r="G166" s="11">
        <f t="shared" si="29"/>
        <v>0</v>
      </c>
      <c r="H166" s="11">
        <f t="shared" si="29"/>
        <v>0</v>
      </c>
      <c r="I166" s="11">
        <f t="shared" si="29"/>
        <v>0</v>
      </c>
      <c r="J166" s="10">
        <f t="shared" si="29"/>
        <v>1275000</v>
      </c>
      <c r="K166" s="11">
        <f t="shared" si="29"/>
        <v>0</v>
      </c>
      <c r="L166" s="11">
        <f t="shared" si="29"/>
        <v>0</v>
      </c>
      <c r="M166" s="11">
        <f t="shared" si="29"/>
        <v>0</v>
      </c>
      <c r="N166" s="11">
        <f t="shared" si="29"/>
        <v>1275000</v>
      </c>
      <c r="O166" s="11">
        <f t="shared" si="29"/>
        <v>1275000</v>
      </c>
      <c r="P166" s="10">
        <f t="shared" si="18"/>
        <v>5370910</v>
      </c>
    </row>
    <row r="167" spans="1:16" hidden="1">
      <c r="A167" s="24"/>
      <c r="B167" s="12" t="s">
        <v>85</v>
      </c>
      <c r="C167" s="13" t="s">
        <v>84</v>
      </c>
      <c r="D167" s="14" t="s">
        <v>86</v>
      </c>
      <c r="E167" s="15">
        <v>90000</v>
      </c>
      <c r="F167" s="14">
        <v>0</v>
      </c>
      <c r="G167" s="14">
        <v>0</v>
      </c>
      <c r="H167" s="14">
        <v>0</v>
      </c>
      <c r="I167" s="14">
        <v>0</v>
      </c>
      <c r="J167" s="15">
        <f>K167+N167</f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f t="shared" si="18"/>
        <v>90000</v>
      </c>
    </row>
    <row r="168" spans="1:16" ht="38.25" hidden="1">
      <c r="A168" s="24"/>
      <c r="B168" s="12">
        <v>8370</v>
      </c>
      <c r="C168" s="13" t="s">
        <v>114</v>
      </c>
      <c r="D168" s="14" t="s">
        <v>115</v>
      </c>
      <c r="E168" s="15">
        <f>F168+I168</f>
        <v>550000</v>
      </c>
      <c r="F168" s="14">
        <f>450000+100000</f>
        <v>550000</v>
      </c>
      <c r="G168" s="14">
        <v>0</v>
      </c>
      <c r="H168" s="14">
        <v>0</v>
      </c>
      <c r="I168" s="14">
        <v>0</v>
      </c>
      <c r="J168" s="15">
        <f>K168+N168</f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5">
        <f t="shared" si="18"/>
        <v>550000</v>
      </c>
    </row>
    <row r="169" spans="1:16" hidden="1">
      <c r="A169" s="24"/>
      <c r="B169" s="12">
        <v>8800</v>
      </c>
      <c r="C169" s="13" t="s">
        <v>114</v>
      </c>
      <c r="D169" s="14" t="s">
        <v>116</v>
      </c>
      <c r="E169" s="15">
        <f>F169+I169</f>
        <v>3455910</v>
      </c>
      <c r="F169" s="14">
        <f>3275910+180000</f>
        <v>3455910</v>
      </c>
      <c r="G169" s="14">
        <v>0</v>
      </c>
      <c r="H169" s="14">
        <v>0</v>
      </c>
      <c r="I169" s="14">
        <v>0</v>
      </c>
      <c r="J169" s="15">
        <f>K169+N169</f>
        <v>1275000</v>
      </c>
      <c r="K169" s="14">
        <v>0</v>
      </c>
      <c r="L169" s="14">
        <v>0</v>
      </c>
      <c r="M169" s="14">
        <v>0</v>
      </c>
      <c r="N169" s="14">
        <f>1080000+195000</f>
        <v>1275000</v>
      </c>
      <c r="O169" s="14">
        <f>1080000+195000</f>
        <v>1275000</v>
      </c>
      <c r="P169" s="15">
        <f t="shared" si="18"/>
        <v>4730910</v>
      </c>
    </row>
    <row r="170" spans="1:16" hidden="1">
      <c r="A170" s="7"/>
      <c r="B170" s="6" t="s">
        <v>87</v>
      </c>
      <c r="C170" s="8"/>
      <c r="D170" s="11" t="s">
        <v>88</v>
      </c>
      <c r="E170" s="10">
        <f t="shared" ref="E170:O170" si="30">E171+E172</f>
        <v>0</v>
      </c>
      <c r="F170" s="11">
        <f t="shared" si="30"/>
        <v>0</v>
      </c>
      <c r="G170" s="11">
        <f t="shared" si="30"/>
        <v>0</v>
      </c>
      <c r="H170" s="11">
        <f t="shared" si="30"/>
        <v>0</v>
      </c>
      <c r="I170" s="11">
        <f t="shared" si="30"/>
        <v>0</v>
      </c>
      <c r="J170" s="10">
        <f t="shared" si="30"/>
        <v>2313000</v>
      </c>
      <c r="K170" s="11">
        <f t="shared" si="30"/>
        <v>513000</v>
      </c>
      <c r="L170" s="11">
        <f t="shared" si="30"/>
        <v>0</v>
      </c>
      <c r="M170" s="11">
        <f t="shared" si="30"/>
        <v>0</v>
      </c>
      <c r="N170" s="11">
        <f t="shared" si="30"/>
        <v>1800000</v>
      </c>
      <c r="O170" s="11">
        <f t="shared" si="30"/>
        <v>0</v>
      </c>
      <c r="P170" s="10">
        <f t="shared" si="18"/>
        <v>2313000</v>
      </c>
    </row>
    <row r="171" spans="1:16" ht="25.5" hidden="1">
      <c r="A171" s="24"/>
      <c r="B171" s="12" t="s">
        <v>89</v>
      </c>
      <c r="C171" s="13" t="s">
        <v>79</v>
      </c>
      <c r="D171" s="14" t="s">
        <v>90</v>
      </c>
      <c r="E171" s="15">
        <v>0</v>
      </c>
      <c r="F171" s="14">
        <v>0</v>
      </c>
      <c r="G171" s="14">
        <v>0</v>
      </c>
      <c r="H171" s="14">
        <v>0</v>
      </c>
      <c r="I171" s="14">
        <v>0</v>
      </c>
      <c r="J171" s="15">
        <f>K171+N171</f>
        <v>513000</v>
      </c>
      <c r="K171" s="14">
        <v>513000</v>
      </c>
      <c r="L171" s="14">
        <v>0</v>
      </c>
      <c r="M171" s="14">
        <v>0</v>
      </c>
      <c r="N171" s="14">
        <v>0</v>
      </c>
      <c r="O171" s="14">
        <v>0</v>
      </c>
      <c r="P171" s="15">
        <f t="shared" si="18"/>
        <v>513000</v>
      </c>
    </row>
    <row r="172" spans="1:16" ht="51" hidden="1">
      <c r="A172" s="24"/>
      <c r="B172" s="12" t="s">
        <v>91</v>
      </c>
      <c r="C172" s="13" t="s">
        <v>84</v>
      </c>
      <c r="D172" s="14" t="s">
        <v>92</v>
      </c>
      <c r="E172" s="15">
        <v>0</v>
      </c>
      <c r="F172" s="14">
        <v>0</v>
      </c>
      <c r="G172" s="14">
        <v>0</v>
      </c>
      <c r="H172" s="14">
        <v>0</v>
      </c>
      <c r="I172" s="14">
        <v>0</v>
      </c>
      <c r="J172" s="15">
        <f>K172+N172</f>
        <v>1800000</v>
      </c>
      <c r="K172" s="14">
        <v>0</v>
      </c>
      <c r="L172" s="14">
        <v>0</v>
      </c>
      <c r="M172" s="14">
        <v>0</v>
      </c>
      <c r="N172" s="14">
        <f>1500000+1000000-700000</f>
        <v>1800000</v>
      </c>
      <c r="O172" s="14">
        <v>0</v>
      </c>
      <c r="P172" s="15">
        <f t="shared" si="18"/>
        <v>1800000</v>
      </c>
    </row>
    <row r="173" spans="1:16" ht="25.5" hidden="1">
      <c r="A173" s="7" t="s">
        <v>103</v>
      </c>
      <c r="B173" s="12"/>
      <c r="C173" s="13"/>
      <c r="D173" s="11" t="s">
        <v>104</v>
      </c>
      <c r="E173" s="15">
        <f t="shared" ref="E173:O173" si="31">E174</f>
        <v>5181425</v>
      </c>
      <c r="F173" s="15">
        <f t="shared" si="31"/>
        <v>5181425</v>
      </c>
      <c r="G173" s="15">
        <f t="shared" si="31"/>
        <v>2907964</v>
      </c>
      <c r="H173" s="15">
        <f t="shared" si="31"/>
        <v>719697</v>
      </c>
      <c r="I173" s="15">
        <f t="shared" si="31"/>
        <v>0</v>
      </c>
      <c r="J173" s="15">
        <f t="shared" si="31"/>
        <v>1000692</v>
      </c>
      <c r="K173" s="15">
        <f t="shared" si="31"/>
        <v>185692</v>
      </c>
      <c r="L173" s="15">
        <f t="shared" si="31"/>
        <v>0</v>
      </c>
      <c r="M173" s="15">
        <f t="shared" si="31"/>
        <v>0</v>
      </c>
      <c r="N173" s="15">
        <f t="shared" si="31"/>
        <v>815000</v>
      </c>
      <c r="O173" s="15">
        <f t="shared" si="31"/>
        <v>815000</v>
      </c>
      <c r="P173" s="15">
        <f t="shared" si="18"/>
        <v>6182117</v>
      </c>
    </row>
    <row r="174" spans="1:16" ht="51" hidden="1">
      <c r="A174" s="24"/>
      <c r="B174" s="12">
        <v>1020</v>
      </c>
      <c r="C174" s="13" t="s">
        <v>28</v>
      </c>
      <c r="D174" s="14" t="s">
        <v>30</v>
      </c>
      <c r="E174" s="15">
        <f>F174+I174</f>
        <v>5181425</v>
      </c>
      <c r="F174" s="14">
        <f>4956425+225000</f>
        <v>5181425</v>
      </c>
      <c r="G174" s="14">
        <f>2724259+225000-41295</f>
        <v>2907964</v>
      </c>
      <c r="H174" s="14">
        <v>719697</v>
      </c>
      <c r="I174" s="14">
        <v>0</v>
      </c>
      <c r="J174" s="15">
        <f>K174+N174</f>
        <v>1000692</v>
      </c>
      <c r="K174" s="14">
        <v>185692</v>
      </c>
      <c r="L174" s="14">
        <v>0</v>
      </c>
      <c r="M174" s="14">
        <v>0</v>
      </c>
      <c r="N174" s="14">
        <v>815000</v>
      </c>
      <c r="O174" s="14">
        <v>815000</v>
      </c>
      <c r="P174" s="15">
        <f t="shared" si="18"/>
        <v>6182117</v>
      </c>
    </row>
    <row r="175" spans="1:16" hidden="1">
      <c r="A175" s="16"/>
      <c r="B175" s="17" t="s">
        <v>93</v>
      </c>
      <c r="C175" s="18"/>
      <c r="D175" s="19" t="s">
        <v>10</v>
      </c>
      <c r="E175" s="10">
        <f t="shared" ref="E175:O175" si="32">E131+E173</f>
        <v>30878611</v>
      </c>
      <c r="F175" s="10">
        <f t="shared" si="32"/>
        <v>30406611</v>
      </c>
      <c r="G175" s="10">
        <f t="shared" si="32"/>
        <v>8039088</v>
      </c>
      <c r="H175" s="10">
        <f t="shared" si="32"/>
        <v>3245234</v>
      </c>
      <c r="I175" s="10">
        <f t="shared" si="32"/>
        <v>382000</v>
      </c>
      <c r="J175" s="10">
        <f t="shared" si="32"/>
        <v>23244482</v>
      </c>
      <c r="K175" s="10">
        <f t="shared" si="32"/>
        <v>743692</v>
      </c>
      <c r="L175" s="10">
        <f t="shared" si="32"/>
        <v>0</v>
      </c>
      <c r="M175" s="10">
        <f t="shared" si="32"/>
        <v>0</v>
      </c>
      <c r="N175" s="10">
        <f t="shared" si="32"/>
        <v>22500790</v>
      </c>
      <c r="O175" s="10">
        <f t="shared" si="32"/>
        <v>20000790</v>
      </c>
      <c r="P175" s="10">
        <f t="shared" si="18"/>
        <v>54123093</v>
      </c>
    </row>
    <row r="176" spans="1:16" hidden="1"/>
    <row r="177" spans="1:16" hidden="1"/>
    <row r="178" spans="1:16" hidden="1">
      <c r="B178" s="2" t="s">
        <v>94</v>
      </c>
      <c r="I178" s="2" t="s">
        <v>95</v>
      </c>
    </row>
    <row r="179" spans="1:16" hidden="1">
      <c r="A179" t="s">
        <v>0</v>
      </c>
      <c r="M179" t="s">
        <v>1</v>
      </c>
    </row>
    <row r="180" spans="1:16" hidden="1">
      <c r="M180" t="s">
        <v>118</v>
      </c>
    </row>
    <row r="181" spans="1:16" hidden="1"/>
    <row r="182" spans="1:16" hidden="1"/>
    <row r="183" spans="1:16" hidden="1">
      <c r="A183" s="92" t="s">
        <v>2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1:16" hidden="1">
      <c r="A184" s="92" t="s">
        <v>3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1:16" hidden="1">
      <c r="P185" s="1" t="s">
        <v>4</v>
      </c>
    </row>
    <row r="186" spans="1:16" hidden="1">
      <c r="A186" s="94" t="s">
        <v>5</v>
      </c>
      <c r="B186" s="94" t="s">
        <v>6</v>
      </c>
      <c r="C186" s="94" t="s">
        <v>7</v>
      </c>
      <c r="D186" s="95" t="s">
        <v>8</v>
      </c>
      <c r="E186" s="95" t="s">
        <v>9</v>
      </c>
      <c r="F186" s="95"/>
      <c r="G186" s="95"/>
      <c r="H186" s="95"/>
      <c r="I186" s="95"/>
      <c r="J186" s="95" t="s">
        <v>16</v>
      </c>
      <c r="K186" s="95"/>
      <c r="L186" s="95"/>
      <c r="M186" s="95"/>
      <c r="N186" s="95"/>
      <c r="O186" s="95"/>
      <c r="P186" s="96" t="s">
        <v>18</v>
      </c>
    </row>
    <row r="187" spans="1:16" hidden="1">
      <c r="A187" s="95"/>
      <c r="B187" s="95"/>
      <c r="C187" s="95"/>
      <c r="D187" s="95"/>
      <c r="E187" s="96" t="s">
        <v>10</v>
      </c>
      <c r="F187" s="95" t="s">
        <v>11</v>
      </c>
      <c r="G187" s="95" t="s">
        <v>12</v>
      </c>
      <c r="H187" s="95"/>
      <c r="I187" s="95" t="s">
        <v>15</v>
      </c>
      <c r="J187" s="96" t="s">
        <v>10</v>
      </c>
      <c r="K187" s="95" t="s">
        <v>11</v>
      </c>
      <c r="L187" s="95" t="s">
        <v>12</v>
      </c>
      <c r="M187" s="95"/>
      <c r="N187" s="95" t="s">
        <v>15</v>
      </c>
      <c r="O187" s="26" t="s">
        <v>12</v>
      </c>
      <c r="P187" s="95"/>
    </row>
    <row r="188" spans="1:16" hidden="1">
      <c r="A188" s="95"/>
      <c r="B188" s="95"/>
      <c r="C188" s="95"/>
      <c r="D188" s="95"/>
      <c r="E188" s="95"/>
      <c r="F188" s="95"/>
      <c r="G188" s="95" t="s">
        <v>13</v>
      </c>
      <c r="H188" s="95" t="s">
        <v>14</v>
      </c>
      <c r="I188" s="95"/>
      <c r="J188" s="95"/>
      <c r="K188" s="95"/>
      <c r="L188" s="95" t="s">
        <v>13</v>
      </c>
      <c r="M188" s="95" t="s">
        <v>14</v>
      </c>
      <c r="N188" s="95"/>
      <c r="O188" s="95" t="s">
        <v>17</v>
      </c>
      <c r="P188" s="95"/>
    </row>
    <row r="189" spans="1:16" hidden="1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1:16" hidden="1">
      <c r="A190" s="26">
        <v>1</v>
      </c>
      <c r="B190" s="26">
        <v>2</v>
      </c>
      <c r="C190" s="26">
        <v>3</v>
      </c>
      <c r="D190" s="26">
        <v>4</v>
      </c>
      <c r="E190" s="27">
        <v>5</v>
      </c>
      <c r="F190" s="26">
        <v>6</v>
      </c>
      <c r="G190" s="26">
        <v>7</v>
      </c>
      <c r="H190" s="26">
        <v>8</v>
      </c>
      <c r="I190" s="26">
        <v>9</v>
      </c>
      <c r="J190" s="27">
        <v>10</v>
      </c>
      <c r="K190" s="26">
        <v>11</v>
      </c>
      <c r="L190" s="26">
        <v>12</v>
      </c>
      <c r="M190" s="26">
        <v>13</v>
      </c>
      <c r="N190" s="26">
        <v>14</v>
      </c>
      <c r="O190" s="26">
        <v>15</v>
      </c>
      <c r="P190" s="27">
        <v>16</v>
      </c>
    </row>
    <row r="191" spans="1:16" ht="76.5" hidden="1">
      <c r="A191" s="6" t="s">
        <v>19</v>
      </c>
      <c r="B191" s="7"/>
      <c r="C191" s="8"/>
      <c r="D191" s="9" t="s">
        <v>20</v>
      </c>
      <c r="E191" s="10">
        <f t="shared" ref="E191:O191" si="33">E192+E194+E197+E200+E203+E206+E210+E212+E215+E218+E220+E224+E226+E230</f>
        <v>25977186</v>
      </c>
      <c r="F191" s="10">
        <f t="shared" si="33"/>
        <v>25475186</v>
      </c>
      <c r="G191" s="10">
        <f t="shared" si="33"/>
        <v>5131124</v>
      </c>
      <c r="H191" s="10">
        <f t="shared" si="33"/>
        <v>2525537</v>
      </c>
      <c r="I191" s="10">
        <f t="shared" si="33"/>
        <v>412000</v>
      </c>
      <c r="J191" s="10">
        <f t="shared" si="33"/>
        <v>24463790</v>
      </c>
      <c r="K191" s="10">
        <f t="shared" si="33"/>
        <v>858000</v>
      </c>
      <c r="L191" s="10">
        <f t="shared" si="33"/>
        <v>0</v>
      </c>
      <c r="M191" s="10">
        <f t="shared" si="33"/>
        <v>0</v>
      </c>
      <c r="N191" s="10">
        <f t="shared" si="33"/>
        <v>23605790</v>
      </c>
      <c r="O191" s="10">
        <f t="shared" si="33"/>
        <v>18905790</v>
      </c>
      <c r="P191" s="10">
        <f t="shared" ref="P191:P236" si="34">E191+J191</f>
        <v>50440976</v>
      </c>
    </row>
    <row r="192" spans="1:16" hidden="1">
      <c r="A192" s="7"/>
      <c r="B192" s="6" t="s">
        <v>21</v>
      </c>
      <c r="C192" s="8"/>
      <c r="D192" s="11" t="s">
        <v>22</v>
      </c>
      <c r="E192" s="10">
        <f t="shared" ref="E192:O192" si="35">E193</f>
        <v>6036758</v>
      </c>
      <c r="F192" s="11">
        <f t="shared" si="35"/>
        <v>6036758</v>
      </c>
      <c r="G192" s="11">
        <f t="shared" si="35"/>
        <v>3049930</v>
      </c>
      <c r="H192" s="11">
        <f t="shared" si="35"/>
        <v>826843</v>
      </c>
      <c r="I192" s="11">
        <f t="shared" si="35"/>
        <v>0</v>
      </c>
      <c r="J192" s="10">
        <f t="shared" si="35"/>
        <v>85000</v>
      </c>
      <c r="K192" s="11">
        <f t="shared" si="35"/>
        <v>35000</v>
      </c>
      <c r="L192" s="11">
        <f t="shared" si="35"/>
        <v>0</v>
      </c>
      <c r="M192" s="11">
        <f t="shared" si="35"/>
        <v>0</v>
      </c>
      <c r="N192" s="11">
        <f t="shared" si="35"/>
        <v>50000</v>
      </c>
      <c r="O192" s="11">
        <f t="shared" si="35"/>
        <v>50000</v>
      </c>
      <c r="P192" s="10">
        <f t="shared" si="34"/>
        <v>6121758</v>
      </c>
    </row>
    <row r="193" spans="1:16" ht="63.75" hidden="1">
      <c r="A193" s="26"/>
      <c r="B193" s="12" t="s">
        <v>24</v>
      </c>
      <c r="C193" s="13" t="s">
        <v>23</v>
      </c>
      <c r="D193" s="14" t="s">
        <v>25</v>
      </c>
      <c r="E193" s="15">
        <f>F193+I193</f>
        <v>6036758</v>
      </c>
      <c r="F193" s="14">
        <f>5623415+160000+150000+103343</f>
        <v>6036758</v>
      </c>
      <c r="G193" s="14">
        <v>3049930</v>
      </c>
      <c r="H193" s="14">
        <f>548500+150000+128343</f>
        <v>826843</v>
      </c>
      <c r="I193" s="14">
        <v>0</v>
      </c>
      <c r="J193" s="15">
        <f>K193+N193</f>
        <v>85000</v>
      </c>
      <c r="K193" s="14">
        <v>35000</v>
      </c>
      <c r="L193" s="14">
        <v>0</v>
      </c>
      <c r="M193" s="14">
        <v>0</v>
      </c>
      <c r="N193" s="14">
        <v>50000</v>
      </c>
      <c r="O193" s="14">
        <v>50000</v>
      </c>
      <c r="P193" s="15">
        <f t="shared" si="34"/>
        <v>6121758</v>
      </c>
    </row>
    <row r="194" spans="1:16" hidden="1">
      <c r="A194" s="7"/>
      <c r="B194" s="6" t="s">
        <v>26</v>
      </c>
      <c r="C194" s="8"/>
      <c r="D194" s="11" t="s">
        <v>27</v>
      </c>
      <c r="E194" s="10">
        <f t="shared" ref="E194:O194" si="36">E195+E196</f>
        <v>540000</v>
      </c>
      <c r="F194" s="11">
        <f t="shared" si="36"/>
        <v>540000</v>
      </c>
      <c r="G194" s="11">
        <f t="shared" si="36"/>
        <v>0</v>
      </c>
      <c r="H194" s="11">
        <f t="shared" si="36"/>
        <v>0</v>
      </c>
      <c r="I194" s="11">
        <f t="shared" si="36"/>
        <v>0</v>
      </c>
      <c r="J194" s="10">
        <f t="shared" si="36"/>
        <v>300000</v>
      </c>
      <c r="K194" s="11">
        <f t="shared" si="36"/>
        <v>0</v>
      </c>
      <c r="L194" s="11">
        <f t="shared" si="36"/>
        <v>0</v>
      </c>
      <c r="M194" s="11">
        <f t="shared" si="36"/>
        <v>0</v>
      </c>
      <c r="N194" s="11">
        <f t="shared" si="36"/>
        <v>300000</v>
      </c>
      <c r="O194" s="11">
        <f t="shared" si="36"/>
        <v>300000</v>
      </c>
      <c r="P194" s="10">
        <f t="shared" si="34"/>
        <v>840000</v>
      </c>
    </row>
    <row r="195" spans="1:16" ht="51" hidden="1">
      <c r="A195" s="26"/>
      <c r="B195" s="12" t="s">
        <v>29</v>
      </c>
      <c r="C195" s="13" t="s">
        <v>28</v>
      </c>
      <c r="D195" s="14" t="s">
        <v>30</v>
      </c>
      <c r="E195" s="15">
        <f>F195+I195</f>
        <v>200000</v>
      </c>
      <c r="F195" s="14">
        <v>200000</v>
      </c>
      <c r="G195" s="14"/>
      <c r="H195" s="14"/>
      <c r="I195" s="14">
        <v>0</v>
      </c>
      <c r="J195" s="15">
        <f>K195+N195</f>
        <v>300000</v>
      </c>
      <c r="K195" s="14">
        <v>0</v>
      </c>
      <c r="L195" s="14">
        <v>0</v>
      </c>
      <c r="M195" s="14">
        <v>0</v>
      </c>
      <c r="N195" s="14">
        <v>300000</v>
      </c>
      <c r="O195" s="14">
        <v>300000</v>
      </c>
      <c r="P195" s="15">
        <f t="shared" si="34"/>
        <v>500000</v>
      </c>
    </row>
    <row r="196" spans="1:16" hidden="1">
      <c r="A196" s="26"/>
      <c r="B196" s="12" t="s">
        <v>32</v>
      </c>
      <c r="C196" s="13" t="s">
        <v>31</v>
      </c>
      <c r="D196" s="14" t="s">
        <v>33</v>
      </c>
      <c r="E196" s="15">
        <f>F196+I196</f>
        <v>340000</v>
      </c>
      <c r="F196" s="14">
        <v>340000</v>
      </c>
      <c r="G196" s="14">
        <v>0</v>
      </c>
      <c r="H196" s="14">
        <v>0</v>
      </c>
      <c r="I196" s="14">
        <v>0</v>
      </c>
      <c r="J196" s="15">
        <f>K196+N196</f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5">
        <f t="shared" si="34"/>
        <v>340000</v>
      </c>
    </row>
    <row r="197" spans="1:16" hidden="1">
      <c r="A197" s="7"/>
      <c r="B197" s="6" t="s">
        <v>34</v>
      </c>
      <c r="C197" s="8"/>
      <c r="D197" s="11" t="s">
        <v>35</v>
      </c>
      <c r="E197" s="10">
        <f t="shared" ref="E197:O197" si="37">E198+E199</f>
        <v>1031000</v>
      </c>
      <c r="F197" s="11">
        <f t="shared" si="37"/>
        <v>1031000</v>
      </c>
      <c r="G197" s="11">
        <f t="shared" si="37"/>
        <v>5738</v>
      </c>
      <c r="H197" s="11">
        <f t="shared" si="37"/>
        <v>0</v>
      </c>
      <c r="I197" s="11">
        <f t="shared" si="37"/>
        <v>0</v>
      </c>
      <c r="J197" s="23">
        <f t="shared" si="37"/>
        <v>0</v>
      </c>
      <c r="K197" s="11">
        <f t="shared" si="37"/>
        <v>0</v>
      </c>
      <c r="L197" s="11">
        <f t="shared" si="37"/>
        <v>0</v>
      </c>
      <c r="M197" s="11">
        <f t="shared" si="37"/>
        <v>0</v>
      </c>
      <c r="N197" s="11">
        <f t="shared" si="37"/>
        <v>0</v>
      </c>
      <c r="O197" s="11">
        <f t="shared" si="37"/>
        <v>0</v>
      </c>
      <c r="P197" s="10">
        <f t="shared" si="34"/>
        <v>1031000</v>
      </c>
    </row>
    <row r="198" spans="1:16" hidden="1">
      <c r="A198" s="7"/>
      <c r="B198" s="20">
        <v>3240</v>
      </c>
      <c r="C198" s="13" t="s">
        <v>105</v>
      </c>
      <c r="D198" s="21" t="s">
        <v>106</v>
      </c>
      <c r="E198" s="22">
        <f>F198+I198</f>
        <v>7000</v>
      </c>
      <c r="F198" s="21">
        <v>7000</v>
      </c>
      <c r="G198" s="21">
        <v>5738</v>
      </c>
      <c r="H198" s="21">
        <v>0</v>
      </c>
      <c r="I198" s="21">
        <v>0</v>
      </c>
      <c r="J198" s="22">
        <f>K198+N198</f>
        <v>0</v>
      </c>
      <c r="K198" s="11"/>
      <c r="L198" s="11"/>
      <c r="M198" s="11"/>
      <c r="N198" s="11"/>
      <c r="O198" s="11"/>
      <c r="P198" s="15">
        <f t="shared" si="34"/>
        <v>7000</v>
      </c>
    </row>
    <row r="199" spans="1:16" hidden="1">
      <c r="A199" s="26"/>
      <c r="B199" s="12" t="s">
        <v>37</v>
      </c>
      <c r="C199" s="13" t="s">
        <v>36</v>
      </c>
      <c r="D199" s="14" t="s">
        <v>38</v>
      </c>
      <c r="E199" s="15">
        <f>F199+I199</f>
        <v>1024000</v>
      </c>
      <c r="F199" s="14">
        <f>781000+243000</f>
        <v>1024000</v>
      </c>
      <c r="G199" s="14">
        <v>0</v>
      </c>
      <c r="H199" s="14">
        <v>0</v>
      </c>
      <c r="I199" s="14">
        <v>0</v>
      </c>
      <c r="J199" s="15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f t="shared" si="34"/>
        <v>1024000</v>
      </c>
    </row>
    <row r="200" spans="1:16" hidden="1">
      <c r="A200" s="7"/>
      <c r="B200" s="6" t="s">
        <v>39</v>
      </c>
      <c r="C200" s="8"/>
      <c r="D200" s="11" t="s">
        <v>40</v>
      </c>
      <c r="E200" s="10">
        <f t="shared" ref="E200:O200" si="38">E201+E202</f>
        <v>4694341</v>
      </c>
      <c r="F200" s="11">
        <f t="shared" si="38"/>
        <v>4694341</v>
      </c>
      <c r="G200" s="11">
        <f t="shared" si="38"/>
        <v>2075456</v>
      </c>
      <c r="H200" s="11">
        <f t="shared" si="38"/>
        <v>879284</v>
      </c>
      <c r="I200" s="11">
        <f t="shared" si="38"/>
        <v>0</v>
      </c>
      <c r="J200" s="10">
        <f t="shared" si="38"/>
        <v>535000</v>
      </c>
      <c r="K200" s="11">
        <f t="shared" si="38"/>
        <v>5000</v>
      </c>
      <c r="L200" s="11">
        <f t="shared" si="38"/>
        <v>0</v>
      </c>
      <c r="M200" s="11">
        <f t="shared" si="38"/>
        <v>0</v>
      </c>
      <c r="N200" s="11">
        <f t="shared" si="38"/>
        <v>530000</v>
      </c>
      <c r="O200" s="11">
        <f t="shared" si="38"/>
        <v>530000</v>
      </c>
      <c r="P200" s="10">
        <f t="shared" si="34"/>
        <v>5229341</v>
      </c>
    </row>
    <row r="201" spans="1:16" hidden="1">
      <c r="A201" s="26"/>
      <c r="B201" s="12" t="s">
        <v>42</v>
      </c>
      <c r="C201" s="13" t="s">
        <v>41</v>
      </c>
      <c r="D201" s="14" t="s">
        <v>43</v>
      </c>
      <c r="E201" s="15">
        <f>F201+I201</f>
        <v>244486</v>
      </c>
      <c r="F201" s="14">
        <v>244486</v>
      </c>
      <c r="G201" s="14">
        <v>195480</v>
      </c>
      <c r="H201" s="14">
        <v>0</v>
      </c>
      <c r="I201" s="14">
        <v>0</v>
      </c>
      <c r="J201" s="15">
        <f>K201+N201</f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5">
        <f t="shared" si="34"/>
        <v>244486</v>
      </c>
    </row>
    <row r="202" spans="1:16" ht="25.5" hidden="1">
      <c r="A202" s="26"/>
      <c r="B202" s="12" t="s">
        <v>45</v>
      </c>
      <c r="C202" s="13" t="s">
        <v>44</v>
      </c>
      <c r="D202" s="14" t="s">
        <v>46</v>
      </c>
      <c r="E202" s="15">
        <f>F202+I202</f>
        <v>4449855</v>
      </c>
      <c r="F202" s="14">
        <f>3953075+400000+96780</f>
        <v>4449855</v>
      </c>
      <c r="G202" s="14">
        <v>1879976</v>
      </c>
      <c r="H202" s="14">
        <f>770504+108780</f>
        <v>879284</v>
      </c>
      <c r="I202" s="14">
        <v>0</v>
      </c>
      <c r="J202" s="15">
        <f>K202+N202</f>
        <v>535000</v>
      </c>
      <c r="K202" s="14">
        <v>5000</v>
      </c>
      <c r="L202" s="14">
        <v>0</v>
      </c>
      <c r="M202" s="14">
        <v>0</v>
      </c>
      <c r="N202" s="14">
        <f>45000+235000+300000-50000</f>
        <v>530000</v>
      </c>
      <c r="O202" s="14">
        <f>45000+235000+300000-50000</f>
        <v>530000</v>
      </c>
      <c r="P202" s="15">
        <f t="shared" si="34"/>
        <v>4984855</v>
      </c>
    </row>
    <row r="203" spans="1:16" hidden="1">
      <c r="A203" s="7"/>
      <c r="B203" s="6" t="s">
        <v>47</v>
      </c>
      <c r="C203" s="8"/>
      <c r="D203" s="11" t="s">
        <v>48</v>
      </c>
      <c r="E203" s="10">
        <f t="shared" ref="E203:O203" si="39">E204</f>
        <v>2858300</v>
      </c>
      <c r="F203" s="11">
        <f t="shared" si="39"/>
        <v>2858300</v>
      </c>
      <c r="G203" s="11">
        <f t="shared" si="39"/>
        <v>0</v>
      </c>
      <c r="H203" s="11">
        <f t="shared" si="39"/>
        <v>0</v>
      </c>
      <c r="I203" s="11">
        <f t="shared" si="39"/>
        <v>0</v>
      </c>
      <c r="J203" s="10">
        <f t="shared" si="39"/>
        <v>893700</v>
      </c>
      <c r="K203" s="11">
        <f t="shared" si="39"/>
        <v>0</v>
      </c>
      <c r="L203" s="11">
        <f t="shared" si="39"/>
        <v>0</v>
      </c>
      <c r="M203" s="11">
        <f t="shared" si="39"/>
        <v>0</v>
      </c>
      <c r="N203" s="11">
        <f t="shared" si="39"/>
        <v>893700</v>
      </c>
      <c r="O203" s="11">
        <f t="shared" si="39"/>
        <v>893700</v>
      </c>
      <c r="P203" s="10">
        <f t="shared" si="34"/>
        <v>3752000</v>
      </c>
    </row>
    <row r="204" spans="1:16" ht="38.25" hidden="1">
      <c r="A204" s="26"/>
      <c r="B204" s="12">
        <v>5032</v>
      </c>
      <c r="C204" s="13" t="s">
        <v>49</v>
      </c>
      <c r="D204" s="14" t="s">
        <v>51</v>
      </c>
      <c r="E204" s="15">
        <f>F204+I204</f>
        <v>2858300</v>
      </c>
      <c r="F204" s="14">
        <f>2578300+280000</f>
        <v>2858300</v>
      </c>
      <c r="G204" s="14">
        <v>0</v>
      </c>
      <c r="H204" s="14">
        <v>0</v>
      </c>
      <c r="I204" s="14">
        <v>0</v>
      </c>
      <c r="J204" s="15">
        <f>K204+N204</f>
        <v>893700</v>
      </c>
      <c r="K204" s="14">
        <v>0</v>
      </c>
      <c r="L204" s="14">
        <v>0</v>
      </c>
      <c r="M204" s="14">
        <v>0</v>
      </c>
      <c r="N204" s="14">
        <f>873700+300000-280000</f>
        <v>893700</v>
      </c>
      <c r="O204" s="14">
        <f>873700+300000-280000</f>
        <v>893700</v>
      </c>
      <c r="P204" s="15">
        <f t="shared" si="34"/>
        <v>3752000</v>
      </c>
    </row>
    <row r="205" spans="1:16" hidden="1">
      <c r="A205" s="26"/>
      <c r="B205" s="12"/>
      <c r="C205" s="13"/>
      <c r="D205" s="11" t="s">
        <v>107</v>
      </c>
      <c r="E205" s="15">
        <f>F205+I205</f>
        <v>2578300</v>
      </c>
      <c r="F205" s="14">
        <v>2578300</v>
      </c>
      <c r="G205" s="14">
        <v>0</v>
      </c>
      <c r="H205" s="14">
        <v>0</v>
      </c>
      <c r="I205" s="14">
        <v>0</v>
      </c>
      <c r="J205" s="15">
        <f>K205+N205</f>
        <v>1173700</v>
      </c>
      <c r="K205" s="14">
        <v>0</v>
      </c>
      <c r="L205" s="14">
        <v>0</v>
      </c>
      <c r="M205" s="14">
        <v>0</v>
      </c>
      <c r="N205" s="14">
        <f>873700+300000</f>
        <v>1173700</v>
      </c>
      <c r="O205" s="14">
        <f>873700+300000</f>
        <v>1173700</v>
      </c>
      <c r="P205" s="15">
        <f t="shared" si="34"/>
        <v>3752000</v>
      </c>
    </row>
    <row r="206" spans="1:16" hidden="1">
      <c r="A206" s="7"/>
      <c r="B206" s="6" t="s">
        <v>52</v>
      </c>
      <c r="C206" s="8"/>
      <c r="D206" s="11" t="s">
        <v>53</v>
      </c>
      <c r="E206" s="10">
        <f t="shared" ref="E206:O206" si="40">E207+E209</f>
        <v>5724877</v>
      </c>
      <c r="F206" s="11">
        <f t="shared" si="40"/>
        <v>5642877</v>
      </c>
      <c r="G206" s="11">
        <f t="shared" si="40"/>
        <v>0</v>
      </c>
      <c r="H206" s="11">
        <f t="shared" si="40"/>
        <v>819410</v>
      </c>
      <c r="I206" s="11">
        <f t="shared" si="40"/>
        <v>82000</v>
      </c>
      <c r="J206" s="10">
        <f t="shared" si="40"/>
        <v>4090000</v>
      </c>
      <c r="K206" s="11">
        <f t="shared" si="40"/>
        <v>0</v>
      </c>
      <c r="L206" s="11">
        <f t="shared" si="40"/>
        <v>0</v>
      </c>
      <c r="M206" s="11">
        <f t="shared" si="40"/>
        <v>0</v>
      </c>
      <c r="N206" s="11">
        <f t="shared" si="40"/>
        <v>4090000</v>
      </c>
      <c r="O206" s="11">
        <f t="shared" si="40"/>
        <v>4090000</v>
      </c>
      <c r="P206" s="10">
        <f t="shared" si="34"/>
        <v>9814877</v>
      </c>
    </row>
    <row r="207" spans="1:16" ht="25.5" hidden="1">
      <c r="A207" s="7"/>
      <c r="B207" s="20">
        <v>6052</v>
      </c>
      <c r="C207" s="13" t="s">
        <v>54</v>
      </c>
      <c r="D207" s="21" t="s">
        <v>108</v>
      </c>
      <c r="E207" s="10">
        <f>F207+I207</f>
        <v>142000</v>
      </c>
      <c r="F207" s="21">
        <v>60000</v>
      </c>
      <c r="G207" s="21">
        <v>0</v>
      </c>
      <c r="H207" s="21">
        <v>0</v>
      </c>
      <c r="I207" s="21">
        <f>442000-360000</f>
        <v>82000</v>
      </c>
      <c r="J207" s="10">
        <f>K207+N207</f>
        <v>960000</v>
      </c>
      <c r="K207" s="21">
        <v>0</v>
      </c>
      <c r="L207" s="21">
        <v>0</v>
      </c>
      <c r="M207" s="21">
        <v>0</v>
      </c>
      <c r="N207" s="21">
        <v>960000</v>
      </c>
      <c r="O207" s="21">
        <v>960000</v>
      </c>
      <c r="P207" s="15">
        <f t="shared" si="34"/>
        <v>1102000</v>
      </c>
    </row>
    <row r="208" spans="1:16" hidden="1">
      <c r="A208" s="7"/>
      <c r="B208" s="20"/>
      <c r="C208" s="13"/>
      <c r="D208" s="11" t="s">
        <v>109</v>
      </c>
      <c r="E208" s="10">
        <f>F208+I208</f>
        <v>82000</v>
      </c>
      <c r="F208" s="21">
        <v>0</v>
      </c>
      <c r="G208" s="21">
        <v>0</v>
      </c>
      <c r="H208" s="21">
        <v>0</v>
      </c>
      <c r="I208" s="21">
        <f>442000-360000</f>
        <v>82000</v>
      </c>
      <c r="J208" s="10">
        <f>K208+N208</f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15">
        <f t="shared" si="34"/>
        <v>82000</v>
      </c>
    </row>
    <row r="209" spans="1:16" hidden="1">
      <c r="A209" s="26"/>
      <c r="B209" s="12" t="s">
        <v>55</v>
      </c>
      <c r="C209" s="13" t="s">
        <v>54</v>
      </c>
      <c r="D209" s="14" t="s">
        <v>56</v>
      </c>
      <c r="E209" s="15">
        <f>F209+I209</f>
        <v>5582877</v>
      </c>
      <c r="F209" s="14">
        <f>5429000+150000+200000-196123</f>
        <v>5582877</v>
      </c>
      <c r="G209" s="14">
        <v>0</v>
      </c>
      <c r="H209" s="14">
        <f>575000+150000+94410</f>
        <v>819410</v>
      </c>
      <c r="I209" s="14">
        <v>0</v>
      </c>
      <c r="J209" s="15">
        <f>K209+N209</f>
        <v>3130000</v>
      </c>
      <c r="K209" s="14">
        <v>0</v>
      </c>
      <c r="L209" s="14">
        <v>0</v>
      </c>
      <c r="M209" s="14">
        <v>0</v>
      </c>
      <c r="N209" s="14">
        <f>200000+2880000+50000</f>
        <v>3130000</v>
      </c>
      <c r="O209" s="14">
        <f>200000+2880000+50000</f>
        <v>3130000</v>
      </c>
      <c r="P209" s="15">
        <f t="shared" si="34"/>
        <v>8712877</v>
      </c>
    </row>
    <row r="210" spans="1:16" hidden="1">
      <c r="A210" s="7"/>
      <c r="B210" s="6" t="s">
        <v>57</v>
      </c>
      <c r="C210" s="8"/>
      <c r="D210" s="11" t="s">
        <v>58</v>
      </c>
      <c r="E210" s="10">
        <f>E211</f>
        <v>0</v>
      </c>
      <c r="F210" s="11">
        <f>F211</f>
        <v>0</v>
      </c>
      <c r="G210" s="11">
        <f>G211</f>
        <v>0</v>
      </c>
      <c r="H210" s="11">
        <f>H211</f>
        <v>0</v>
      </c>
      <c r="I210" s="11">
        <f>I211</f>
        <v>0</v>
      </c>
      <c r="J210" s="10">
        <f>K210+N210</f>
        <v>4800000</v>
      </c>
      <c r="K210" s="11">
        <f>K211</f>
        <v>0</v>
      </c>
      <c r="L210" s="11">
        <f>L211</f>
        <v>0</v>
      </c>
      <c r="M210" s="11">
        <f>M211</f>
        <v>0</v>
      </c>
      <c r="N210" s="11">
        <f>N211</f>
        <v>4800000</v>
      </c>
      <c r="O210" s="11">
        <f>O211</f>
        <v>4800000</v>
      </c>
      <c r="P210" s="10">
        <f t="shared" si="34"/>
        <v>4800000</v>
      </c>
    </row>
    <row r="211" spans="1:16" ht="25.5" hidden="1">
      <c r="A211" s="26"/>
      <c r="B211" s="12" t="s">
        <v>60</v>
      </c>
      <c r="C211" s="13" t="s">
        <v>59</v>
      </c>
      <c r="D211" s="14" t="s">
        <v>61</v>
      </c>
      <c r="E211" s="15">
        <f>F211+I211</f>
        <v>0</v>
      </c>
      <c r="F211" s="14">
        <v>0</v>
      </c>
      <c r="G211" s="14">
        <v>0</v>
      </c>
      <c r="H211" s="14">
        <v>0</v>
      </c>
      <c r="I211" s="14">
        <v>0</v>
      </c>
      <c r="J211" s="15">
        <f>K211+N211</f>
        <v>4800000</v>
      </c>
      <c r="K211" s="14">
        <v>0</v>
      </c>
      <c r="L211" s="14">
        <v>0</v>
      </c>
      <c r="M211" s="14">
        <v>0</v>
      </c>
      <c r="N211" s="14">
        <f>2000000+2800000</f>
        <v>4800000</v>
      </c>
      <c r="O211" s="14">
        <f>2000000+2800000</f>
        <v>4800000</v>
      </c>
      <c r="P211" s="15">
        <f t="shared" si="34"/>
        <v>4800000</v>
      </c>
    </row>
    <row r="212" spans="1:16" ht="25.5" hidden="1">
      <c r="A212" s="7"/>
      <c r="B212" s="6" t="s">
        <v>62</v>
      </c>
      <c r="C212" s="8"/>
      <c r="D212" s="11" t="s">
        <v>63</v>
      </c>
      <c r="E212" s="10">
        <f t="shared" ref="E212:O212" si="41">E213</f>
        <v>700000</v>
      </c>
      <c r="F212" s="11">
        <f t="shared" si="41"/>
        <v>400000</v>
      </c>
      <c r="G212" s="11">
        <f t="shared" si="41"/>
        <v>0</v>
      </c>
      <c r="H212" s="11">
        <f t="shared" si="41"/>
        <v>0</v>
      </c>
      <c r="I212" s="11">
        <f t="shared" si="41"/>
        <v>300000</v>
      </c>
      <c r="J212" s="10">
        <f t="shared" si="41"/>
        <v>2177090</v>
      </c>
      <c r="K212" s="11">
        <f t="shared" si="41"/>
        <v>0</v>
      </c>
      <c r="L212" s="11">
        <f t="shared" si="41"/>
        <v>0</v>
      </c>
      <c r="M212" s="11">
        <f t="shared" si="41"/>
        <v>0</v>
      </c>
      <c r="N212" s="11">
        <f t="shared" si="41"/>
        <v>2177090</v>
      </c>
      <c r="O212" s="11">
        <f t="shared" si="41"/>
        <v>2177090</v>
      </c>
      <c r="P212" s="10">
        <f t="shared" si="34"/>
        <v>2877090</v>
      </c>
    </row>
    <row r="213" spans="1:16" hidden="1">
      <c r="A213" s="26"/>
      <c r="B213" s="12" t="s">
        <v>65</v>
      </c>
      <c r="C213" s="13" t="s">
        <v>64</v>
      </c>
      <c r="D213" s="14" t="s">
        <v>66</v>
      </c>
      <c r="E213" s="15">
        <f>F213+I213</f>
        <v>700000</v>
      </c>
      <c r="F213" s="14">
        <f>300000+150000-50000</f>
        <v>400000</v>
      </c>
      <c r="G213" s="14">
        <v>0</v>
      </c>
      <c r="H213" s="14">
        <v>0</v>
      </c>
      <c r="I213" s="14">
        <f>100000+150000+50000</f>
        <v>300000</v>
      </c>
      <c r="J213" s="15">
        <f>K213+N213</f>
        <v>2177090</v>
      </c>
      <c r="K213" s="14">
        <v>0</v>
      </c>
      <c r="L213" s="14">
        <v>0</v>
      </c>
      <c r="M213" s="14">
        <v>0</v>
      </c>
      <c r="N213" s="14">
        <f>1000000+1177090</f>
        <v>2177090</v>
      </c>
      <c r="O213" s="14">
        <f>1000000+1177090</f>
        <v>2177090</v>
      </c>
      <c r="P213" s="15">
        <f t="shared" si="34"/>
        <v>2877090</v>
      </c>
    </row>
    <row r="214" spans="1:16" hidden="1">
      <c r="A214" s="26"/>
      <c r="B214" s="12"/>
      <c r="C214" s="13"/>
      <c r="D214" s="11" t="s">
        <v>110</v>
      </c>
      <c r="E214" s="15">
        <f>F214+I214</f>
        <v>300000</v>
      </c>
      <c r="F214" s="14">
        <v>0</v>
      </c>
      <c r="G214" s="14">
        <v>0</v>
      </c>
      <c r="H214" s="14">
        <v>0</v>
      </c>
      <c r="I214" s="14">
        <f>100000+150000+50000</f>
        <v>300000</v>
      </c>
      <c r="J214" s="15">
        <f>K214+N214</f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5">
        <f t="shared" si="34"/>
        <v>300000</v>
      </c>
    </row>
    <row r="215" spans="1:16" hidden="1">
      <c r="A215" s="7"/>
      <c r="B215" s="6" t="s">
        <v>67</v>
      </c>
      <c r="C215" s="8"/>
      <c r="D215" s="11" t="s">
        <v>68</v>
      </c>
      <c r="E215" s="10">
        <f t="shared" ref="E215:O215" si="42">E216</f>
        <v>200000</v>
      </c>
      <c r="F215" s="11">
        <f t="shared" si="42"/>
        <v>200000</v>
      </c>
      <c r="G215" s="11">
        <f t="shared" si="42"/>
        <v>0</v>
      </c>
      <c r="H215" s="11">
        <f t="shared" si="42"/>
        <v>0</v>
      </c>
      <c r="I215" s="11">
        <f t="shared" si="42"/>
        <v>0</v>
      </c>
      <c r="J215" s="10">
        <f t="shared" si="42"/>
        <v>0</v>
      </c>
      <c r="K215" s="11">
        <f t="shared" si="42"/>
        <v>0</v>
      </c>
      <c r="L215" s="11">
        <f t="shared" si="42"/>
        <v>0</v>
      </c>
      <c r="M215" s="11">
        <f t="shared" si="42"/>
        <v>0</v>
      </c>
      <c r="N215" s="11">
        <f t="shared" si="42"/>
        <v>0</v>
      </c>
      <c r="O215" s="11">
        <f t="shared" si="42"/>
        <v>0</v>
      </c>
      <c r="P215" s="10">
        <f t="shared" si="34"/>
        <v>200000</v>
      </c>
    </row>
    <row r="216" spans="1:16" ht="25.5" hidden="1">
      <c r="A216" s="26"/>
      <c r="B216" s="12" t="s">
        <v>70</v>
      </c>
      <c r="C216" s="13" t="s">
        <v>69</v>
      </c>
      <c r="D216" s="14" t="s">
        <v>71</v>
      </c>
      <c r="E216" s="15">
        <f>F216+I216</f>
        <v>200000</v>
      </c>
      <c r="F216" s="14">
        <v>200000</v>
      </c>
      <c r="G216" s="14">
        <v>0</v>
      </c>
      <c r="H216" s="14">
        <v>0</v>
      </c>
      <c r="I216" s="14">
        <v>0</v>
      </c>
      <c r="J216" s="15">
        <f>K216+N216</f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f t="shared" si="34"/>
        <v>200000</v>
      </c>
    </row>
    <row r="217" spans="1:16" hidden="1">
      <c r="A217" s="26"/>
      <c r="B217" s="12"/>
      <c r="C217" s="13"/>
      <c r="D217" s="11" t="s">
        <v>111</v>
      </c>
      <c r="E217" s="15">
        <f>F217+I217</f>
        <v>200000</v>
      </c>
      <c r="F217" s="14">
        <v>200000</v>
      </c>
      <c r="G217" s="14">
        <v>0</v>
      </c>
      <c r="H217" s="14">
        <v>0</v>
      </c>
      <c r="I217" s="14">
        <v>0</v>
      </c>
      <c r="J217" s="15">
        <f>K217+N217</f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f t="shared" si="34"/>
        <v>200000</v>
      </c>
    </row>
    <row r="218" spans="1:16" ht="25.5" hidden="1">
      <c r="A218" s="7"/>
      <c r="B218" s="6" t="s">
        <v>72</v>
      </c>
      <c r="C218" s="8"/>
      <c r="D218" s="11" t="s">
        <v>73</v>
      </c>
      <c r="E218" s="10">
        <f t="shared" ref="E218:O218" si="43">E219</f>
        <v>96000</v>
      </c>
      <c r="F218" s="11">
        <f t="shared" si="43"/>
        <v>66000</v>
      </c>
      <c r="G218" s="11">
        <f t="shared" si="43"/>
        <v>0</v>
      </c>
      <c r="H218" s="11">
        <f t="shared" si="43"/>
        <v>0</v>
      </c>
      <c r="I218" s="11">
        <f t="shared" si="43"/>
        <v>30000</v>
      </c>
      <c r="J218" s="10">
        <f t="shared" si="43"/>
        <v>500000</v>
      </c>
      <c r="K218" s="11">
        <f t="shared" si="43"/>
        <v>0</v>
      </c>
      <c r="L218" s="11">
        <f t="shared" si="43"/>
        <v>0</v>
      </c>
      <c r="M218" s="11">
        <f t="shared" si="43"/>
        <v>0</v>
      </c>
      <c r="N218" s="11">
        <f t="shared" si="43"/>
        <v>500000</v>
      </c>
      <c r="O218" s="11">
        <f t="shared" si="43"/>
        <v>500000</v>
      </c>
      <c r="P218" s="10">
        <f t="shared" si="34"/>
        <v>596000</v>
      </c>
    </row>
    <row r="219" spans="1:16" hidden="1">
      <c r="A219" s="26"/>
      <c r="B219" s="12" t="s">
        <v>75</v>
      </c>
      <c r="C219" s="13" t="s">
        <v>74</v>
      </c>
      <c r="D219" s="14" t="s">
        <v>76</v>
      </c>
      <c r="E219" s="15">
        <f>F219+I219</f>
        <v>96000</v>
      </c>
      <c r="F219" s="14">
        <f>100000-4000-30000</f>
        <v>66000</v>
      </c>
      <c r="G219" s="14">
        <v>0</v>
      </c>
      <c r="H219" s="14">
        <v>0</v>
      </c>
      <c r="I219" s="14">
        <v>30000</v>
      </c>
      <c r="J219" s="15">
        <f>K219+N219</f>
        <v>500000</v>
      </c>
      <c r="K219" s="14">
        <v>0</v>
      </c>
      <c r="L219" s="14">
        <v>0</v>
      </c>
      <c r="M219" s="14">
        <v>0</v>
      </c>
      <c r="N219" s="14">
        <v>500000</v>
      </c>
      <c r="O219" s="14">
        <v>500000</v>
      </c>
      <c r="P219" s="15">
        <f t="shared" si="34"/>
        <v>596000</v>
      </c>
    </row>
    <row r="220" spans="1:16" ht="25.5" hidden="1">
      <c r="A220" s="26"/>
      <c r="B220" s="6">
        <v>7400</v>
      </c>
      <c r="C220" s="13"/>
      <c r="D220" s="11" t="s">
        <v>112</v>
      </c>
      <c r="E220" s="10">
        <f t="shared" ref="E220:O220" si="44">E221</f>
        <v>0</v>
      </c>
      <c r="F220" s="11">
        <f t="shared" si="44"/>
        <v>0</v>
      </c>
      <c r="G220" s="11">
        <f t="shared" si="44"/>
        <v>0</v>
      </c>
      <c r="H220" s="11">
        <f t="shared" si="44"/>
        <v>0</v>
      </c>
      <c r="I220" s="11">
        <f t="shared" si="44"/>
        <v>0</v>
      </c>
      <c r="J220" s="10">
        <f t="shared" si="44"/>
        <v>4990000</v>
      </c>
      <c r="K220" s="11">
        <f t="shared" si="44"/>
        <v>0</v>
      </c>
      <c r="L220" s="11">
        <f t="shared" si="44"/>
        <v>0</v>
      </c>
      <c r="M220" s="11">
        <f t="shared" si="44"/>
        <v>0</v>
      </c>
      <c r="N220" s="11">
        <f t="shared" si="44"/>
        <v>4990000</v>
      </c>
      <c r="O220" s="11">
        <f t="shared" si="44"/>
        <v>4290000</v>
      </c>
      <c r="P220" s="10">
        <f t="shared" si="34"/>
        <v>4990000</v>
      </c>
    </row>
    <row r="221" spans="1:16" ht="25.5" hidden="1">
      <c r="A221" s="26"/>
      <c r="B221" s="12">
        <v>7470</v>
      </c>
      <c r="C221" s="13" t="s">
        <v>59</v>
      </c>
      <c r="D221" s="14" t="s">
        <v>113</v>
      </c>
      <c r="E221" s="15">
        <f>F221+I221</f>
        <v>0</v>
      </c>
      <c r="F221" s="14">
        <v>0</v>
      </c>
      <c r="G221" s="14">
        <v>0</v>
      </c>
      <c r="H221" s="14">
        <v>0</v>
      </c>
      <c r="I221" s="14">
        <v>0</v>
      </c>
      <c r="J221" s="15">
        <f>K221+N221</f>
        <v>4990000</v>
      </c>
      <c r="K221" s="14">
        <v>0</v>
      </c>
      <c r="L221" s="14">
        <v>0</v>
      </c>
      <c r="M221" s="14">
        <v>0</v>
      </c>
      <c r="N221" s="14">
        <f>3730000+700000+560000</f>
        <v>4990000</v>
      </c>
      <c r="O221" s="14">
        <f>3730000+560000</f>
        <v>4290000</v>
      </c>
      <c r="P221" s="15">
        <f t="shared" si="34"/>
        <v>4990000</v>
      </c>
    </row>
    <row r="222" spans="1:16" hidden="1">
      <c r="A222" s="26"/>
      <c r="B222" s="12"/>
      <c r="C222" s="13"/>
      <c r="D222" s="11" t="s">
        <v>109</v>
      </c>
      <c r="E222" s="15">
        <f>F222+I222</f>
        <v>0</v>
      </c>
      <c r="F222" s="14">
        <v>0</v>
      </c>
      <c r="G222" s="14">
        <v>0</v>
      </c>
      <c r="H222" s="14">
        <v>0</v>
      </c>
      <c r="I222" s="14">
        <v>0</v>
      </c>
      <c r="J222" s="15">
        <f>K222+N222</f>
        <v>2590000</v>
      </c>
      <c r="K222" s="14">
        <v>0</v>
      </c>
      <c r="L222" s="14">
        <v>0</v>
      </c>
      <c r="M222" s="14">
        <v>0</v>
      </c>
      <c r="N222" s="14">
        <f>1330000+700000+200000+360000</f>
        <v>2590000</v>
      </c>
      <c r="O222" s="14">
        <f>1330000+200000+360000</f>
        <v>1890000</v>
      </c>
      <c r="P222" s="15">
        <f t="shared" si="34"/>
        <v>2590000</v>
      </c>
    </row>
    <row r="223" spans="1:16" hidden="1">
      <c r="A223" s="26"/>
      <c r="B223" s="12"/>
      <c r="C223" s="13"/>
      <c r="D223" s="11" t="s">
        <v>111</v>
      </c>
      <c r="E223" s="15">
        <f>F223+I223</f>
        <v>0</v>
      </c>
      <c r="F223" s="14">
        <v>0</v>
      </c>
      <c r="G223" s="14">
        <v>0</v>
      </c>
      <c r="H223" s="14">
        <v>0</v>
      </c>
      <c r="I223" s="14">
        <v>0</v>
      </c>
      <c r="J223" s="15">
        <f>K223+N223</f>
        <v>2400000</v>
      </c>
      <c r="K223" s="14">
        <v>0</v>
      </c>
      <c r="L223" s="14">
        <v>0</v>
      </c>
      <c r="M223" s="14">
        <v>0</v>
      </c>
      <c r="N223" s="14">
        <v>2400000</v>
      </c>
      <c r="O223" s="14">
        <v>2400000</v>
      </c>
      <c r="P223" s="15">
        <f t="shared" si="34"/>
        <v>2400000</v>
      </c>
    </row>
    <row r="224" spans="1:16" ht="25.5" hidden="1">
      <c r="A224" s="7"/>
      <c r="B224" s="6" t="s">
        <v>77</v>
      </c>
      <c r="C224" s="8"/>
      <c r="D224" s="11" t="s">
        <v>78</v>
      </c>
      <c r="E224" s="10">
        <f>E225</f>
        <v>0</v>
      </c>
      <c r="F224" s="11">
        <v>0</v>
      </c>
      <c r="G224" s="11">
        <v>0</v>
      </c>
      <c r="H224" s="11">
        <v>0</v>
      </c>
      <c r="I224" s="11">
        <v>0</v>
      </c>
      <c r="J224" s="10">
        <f>J225</f>
        <v>5000</v>
      </c>
      <c r="K224" s="11">
        <v>5000</v>
      </c>
      <c r="L224" s="11">
        <v>0</v>
      </c>
      <c r="M224" s="11">
        <v>0</v>
      </c>
      <c r="N224" s="11">
        <v>0</v>
      </c>
      <c r="O224" s="11">
        <v>0</v>
      </c>
      <c r="P224" s="10">
        <f t="shared" si="34"/>
        <v>5000</v>
      </c>
    </row>
    <row r="225" spans="1:16" hidden="1">
      <c r="A225" s="26"/>
      <c r="B225" s="12" t="s">
        <v>80</v>
      </c>
      <c r="C225" s="13" t="s">
        <v>79</v>
      </c>
      <c r="D225" s="14" t="s">
        <v>81</v>
      </c>
      <c r="E225" s="15">
        <f>F225+I225</f>
        <v>0</v>
      </c>
      <c r="F225" s="14">
        <v>0</v>
      </c>
      <c r="G225" s="14">
        <v>0</v>
      </c>
      <c r="H225" s="14">
        <v>0</v>
      </c>
      <c r="I225" s="14">
        <v>0</v>
      </c>
      <c r="J225" s="15">
        <f>K225+N225</f>
        <v>5000</v>
      </c>
      <c r="K225" s="14">
        <v>5000</v>
      </c>
      <c r="L225" s="14">
        <v>0</v>
      </c>
      <c r="M225" s="14">
        <v>0</v>
      </c>
      <c r="N225" s="14">
        <v>0</v>
      </c>
      <c r="O225" s="14">
        <v>0</v>
      </c>
      <c r="P225" s="15">
        <f t="shared" si="34"/>
        <v>5000</v>
      </c>
    </row>
    <row r="226" spans="1:16" hidden="1">
      <c r="A226" s="7"/>
      <c r="B226" s="6" t="s">
        <v>82</v>
      </c>
      <c r="C226" s="8"/>
      <c r="D226" s="11" t="s">
        <v>83</v>
      </c>
      <c r="E226" s="10">
        <f t="shared" ref="E226:O226" si="45">E227+E228+E229</f>
        <v>4095910</v>
      </c>
      <c r="F226" s="11">
        <f t="shared" si="45"/>
        <v>4005910</v>
      </c>
      <c r="G226" s="11">
        <f t="shared" si="45"/>
        <v>0</v>
      </c>
      <c r="H226" s="11">
        <f t="shared" si="45"/>
        <v>0</v>
      </c>
      <c r="I226" s="11">
        <f t="shared" si="45"/>
        <v>0</v>
      </c>
      <c r="J226" s="10">
        <f t="shared" si="45"/>
        <v>1275000</v>
      </c>
      <c r="K226" s="11">
        <f t="shared" si="45"/>
        <v>0</v>
      </c>
      <c r="L226" s="11">
        <f t="shared" si="45"/>
        <v>0</v>
      </c>
      <c r="M226" s="11">
        <f t="shared" si="45"/>
        <v>0</v>
      </c>
      <c r="N226" s="11">
        <f t="shared" si="45"/>
        <v>1275000</v>
      </c>
      <c r="O226" s="11">
        <f t="shared" si="45"/>
        <v>1275000</v>
      </c>
      <c r="P226" s="10">
        <f t="shared" si="34"/>
        <v>5370910</v>
      </c>
    </row>
    <row r="227" spans="1:16" hidden="1">
      <c r="A227" s="26"/>
      <c r="B227" s="12" t="s">
        <v>85</v>
      </c>
      <c r="C227" s="13" t="s">
        <v>84</v>
      </c>
      <c r="D227" s="14" t="s">
        <v>86</v>
      </c>
      <c r="E227" s="15">
        <v>90000</v>
      </c>
      <c r="F227" s="14">
        <v>0</v>
      </c>
      <c r="G227" s="14">
        <v>0</v>
      </c>
      <c r="H227" s="14">
        <v>0</v>
      </c>
      <c r="I227" s="14">
        <v>0</v>
      </c>
      <c r="J227" s="15">
        <f>K227+N227</f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5">
        <f t="shared" si="34"/>
        <v>90000</v>
      </c>
    </row>
    <row r="228" spans="1:16" ht="38.25" hidden="1">
      <c r="A228" s="26"/>
      <c r="B228" s="12">
        <v>8370</v>
      </c>
      <c r="C228" s="13" t="s">
        <v>114</v>
      </c>
      <c r="D228" s="14" t="s">
        <v>115</v>
      </c>
      <c r="E228" s="15">
        <f>F228+I228</f>
        <v>550000</v>
      </c>
      <c r="F228" s="14">
        <f>450000+100000</f>
        <v>550000</v>
      </c>
      <c r="G228" s="14">
        <v>0</v>
      </c>
      <c r="H228" s="14">
        <v>0</v>
      </c>
      <c r="I228" s="14">
        <v>0</v>
      </c>
      <c r="J228" s="15">
        <f>K228+N228</f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5">
        <f t="shared" si="34"/>
        <v>550000</v>
      </c>
    </row>
    <row r="229" spans="1:16" hidden="1">
      <c r="A229" s="26"/>
      <c r="B229" s="12">
        <v>8800</v>
      </c>
      <c r="C229" s="13" t="s">
        <v>114</v>
      </c>
      <c r="D229" s="14" t="s">
        <v>116</v>
      </c>
      <c r="E229" s="15">
        <f>F229+I229</f>
        <v>3455910</v>
      </c>
      <c r="F229" s="14">
        <f>3275910+180000</f>
        <v>3455910</v>
      </c>
      <c r="G229" s="14">
        <v>0</v>
      </c>
      <c r="H229" s="14">
        <v>0</v>
      </c>
      <c r="I229" s="14">
        <v>0</v>
      </c>
      <c r="J229" s="15">
        <f>K229+N229</f>
        <v>1275000</v>
      </c>
      <c r="K229" s="14">
        <v>0</v>
      </c>
      <c r="L229" s="14">
        <v>0</v>
      </c>
      <c r="M229" s="14">
        <v>0</v>
      </c>
      <c r="N229" s="14">
        <f>1080000+195000</f>
        <v>1275000</v>
      </c>
      <c r="O229" s="14">
        <f>1080000+195000</f>
        <v>1275000</v>
      </c>
      <c r="P229" s="15">
        <f t="shared" si="34"/>
        <v>4730910</v>
      </c>
    </row>
    <row r="230" spans="1:16" hidden="1">
      <c r="A230" s="7"/>
      <c r="B230" s="6" t="s">
        <v>87</v>
      </c>
      <c r="C230" s="8"/>
      <c r="D230" s="11" t="s">
        <v>88</v>
      </c>
      <c r="E230" s="10">
        <f t="shared" ref="E230:O230" si="46">E231+E233</f>
        <v>0</v>
      </c>
      <c r="F230" s="11">
        <f t="shared" si="46"/>
        <v>0</v>
      </c>
      <c r="G230" s="11">
        <f t="shared" si="46"/>
        <v>0</v>
      </c>
      <c r="H230" s="11">
        <f t="shared" si="46"/>
        <v>0</v>
      </c>
      <c r="I230" s="11">
        <f t="shared" si="46"/>
        <v>0</v>
      </c>
      <c r="J230" s="10">
        <f t="shared" si="46"/>
        <v>4813000</v>
      </c>
      <c r="K230" s="11">
        <f t="shared" si="46"/>
        <v>813000</v>
      </c>
      <c r="L230" s="11">
        <f t="shared" si="46"/>
        <v>0</v>
      </c>
      <c r="M230" s="11">
        <f t="shared" si="46"/>
        <v>0</v>
      </c>
      <c r="N230" s="11">
        <f t="shared" si="46"/>
        <v>4000000</v>
      </c>
      <c r="O230" s="11">
        <f t="shared" si="46"/>
        <v>0</v>
      </c>
      <c r="P230" s="10">
        <f t="shared" si="34"/>
        <v>4813000</v>
      </c>
    </row>
    <row r="231" spans="1:16" ht="25.5" hidden="1">
      <c r="A231" s="26"/>
      <c r="B231" s="12" t="s">
        <v>89</v>
      </c>
      <c r="C231" s="13" t="s">
        <v>79</v>
      </c>
      <c r="D231" s="14" t="s">
        <v>90</v>
      </c>
      <c r="E231" s="15">
        <v>0</v>
      </c>
      <c r="F231" s="14">
        <v>0</v>
      </c>
      <c r="G231" s="14">
        <v>0</v>
      </c>
      <c r="H231" s="14">
        <v>0</v>
      </c>
      <c r="I231" s="14">
        <v>0</v>
      </c>
      <c r="J231" s="15">
        <f>K231+N231</f>
        <v>3013000</v>
      </c>
      <c r="K231" s="14">
        <f>513000+300000</f>
        <v>813000</v>
      </c>
      <c r="L231" s="14">
        <v>0</v>
      </c>
      <c r="M231" s="14">
        <v>0</v>
      </c>
      <c r="N231" s="14">
        <f>1500000+500000+200000</f>
        <v>2200000</v>
      </c>
      <c r="O231" s="14">
        <v>0</v>
      </c>
      <c r="P231" s="15">
        <f t="shared" si="34"/>
        <v>3013000</v>
      </c>
    </row>
    <row r="232" spans="1:16" hidden="1">
      <c r="A232" s="28"/>
      <c r="B232" s="12"/>
      <c r="C232" s="13"/>
      <c r="D232" s="11" t="s">
        <v>109</v>
      </c>
      <c r="E232" s="15">
        <v>0</v>
      </c>
      <c r="F232" s="14">
        <v>0</v>
      </c>
      <c r="G232" s="14">
        <v>0</v>
      </c>
      <c r="H232" s="14">
        <v>0</v>
      </c>
      <c r="I232" s="14">
        <v>0</v>
      </c>
      <c r="J232" s="15">
        <v>2200000</v>
      </c>
      <c r="K232" s="14">
        <v>0</v>
      </c>
      <c r="L232" s="14">
        <v>0</v>
      </c>
      <c r="M232" s="14">
        <v>0</v>
      </c>
      <c r="N232" s="14">
        <v>2200000</v>
      </c>
      <c r="O232" s="14">
        <v>0</v>
      </c>
      <c r="P232" s="15">
        <v>2200000</v>
      </c>
    </row>
    <row r="233" spans="1:16" ht="51" hidden="1">
      <c r="A233" s="26"/>
      <c r="B233" s="12" t="s">
        <v>91</v>
      </c>
      <c r="C233" s="13" t="s">
        <v>84</v>
      </c>
      <c r="D233" s="14" t="s">
        <v>92</v>
      </c>
      <c r="E233" s="15">
        <v>0</v>
      </c>
      <c r="F233" s="14">
        <v>0</v>
      </c>
      <c r="G233" s="14">
        <v>0</v>
      </c>
      <c r="H233" s="14">
        <v>0</v>
      </c>
      <c r="I233" s="14">
        <v>0</v>
      </c>
      <c r="J233" s="15">
        <f>K233+N233</f>
        <v>1800000</v>
      </c>
      <c r="K233" s="14">
        <v>0</v>
      </c>
      <c r="L233" s="14">
        <v>0</v>
      </c>
      <c r="M233" s="14">
        <v>0</v>
      </c>
      <c r="N233" s="14">
        <f>1500000+1000000-700000</f>
        <v>1800000</v>
      </c>
      <c r="O233" s="14">
        <v>0</v>
      </c>
      <c r="P233" s="15">
        <f t="shared" si="34"/>
        <v>1800000</v>
      </c>
    </row>
    <row r="234" spans="1:16" ht="25.5" hidden="1">
      <c r="A234" s="7" t="s">
        <v>103</v>
      </c>
      <c r="B234" s="12"/>
      <c r="C234" s="13"/>
      <c r="D234" s="11" t="s">
        <v>104</v>
      </c>
      <c r="E234" s="15">
        <f t="shared" ref="E234:O234" si="47">E235</f>
        <v>5181425</v>
      </c>
      <c r="F234" s="15">
        <f t="shared" si="47"/>
        <v>5181425</v>
      </c>
      <c r="G234" s="15">
        <f t="shared" si="47"/>
        <v>2907964</v>
      </c>
      <c r="H234" s="15">
        <f t="shared" si="47"/>
        <v>719697</v>
      </c>
      <c r="I234" s="15">
        <f t="shared" si="47"/>
        <v>0</v>
      </c>
      <c r="J234" s="15">
        <f t="shared" si="47"/>
        <v>1000692</v>
      </c>
      <c r="K234" s="15">
        <f t="shared" si="47"/>
        <v>185692</v>
      </c>
      <c r="L234" s="15">
        <f t="shared" si="47"/>
        <v>0</v>
      </c>
      <c r="M234" s="15">
        <f t="shared" si="47"/>
        <v>0</v>
      </c>
      <c r="N234" s="15">
        <f t="shared" si="47"/>
        <v>815000</v>
      </c>
      <c r="O234" s="15">
        <f t="shared" si="47"/>
        <v>815000</v>
      </c>
      <c r="P234" s="15">
        <f t="shared" si="34"/>
        <v>6182117</v>
      </c>
    </row>
    <row r="235" spans="1:16" ht="51" hidden="1">
      <c r="A235" s="26"/>
      <c r="B235" s="12">
        <v>1020</v>
      </c>
      <c r="C235" s="13" t="s">
        <v>28</v>
      </c>
      <c r="D235" s="14" t="s">
        <v>30</v>
      </c>
      <c r="E235" s="15">
        <f>F235+I235</f>
        <v>5181425</v>
      </c>
      <c r="F235" s="14">
        <f>4956425+225000</f>
        <v>5181425</v>
      </c>
      <c r="G235" s="14">
        <f>2724259+225000-41295</f>
        <v>2907964</v>
      </c>
      <c r="H235" s="14">
        <v>719697</v>
      </c>
      <c r="I235" s="14">
        <v>0</v>
      </c>
      <c r="J235" s="15">
        <f>K235+N235</f>
        <v>1000692</v>
      </c>
      <c r="K235" s="14">
        <v>185692</v>
      </c>
      <c r="L235" s="14">
        <v>0</v>
      </c>
      <c r="M235" s="14">
        <v>0</v>
      </c>
      <c r="N235" s="14">
        <v>815000</v>
      </c>
      <c r="O235" s="14">
        <v>815000</v>
      </c>
      <c r="P235" s="15">
        <f t="shared" si="34"/>
        <v>6182117</v>
      </c>
    </row>
    <row r="236" spans="1:16" hidden="1">
      <c r="A236" s="16"/>
      <c r="B236" s="17" t="s">
        <v>93</v>
      </c>
      <c r="C236" s="18"/>
      <c r="D236" s="19" t="s">
        <v>10</v>
      </c>
      <c r="E236" s="10">
        <f t="shared" ref="E236:O236" si="48">E191+E234</f>
        <v>31158611</v>
      </c>
      <c r="F236" s="10">
        <f t="shared" si="48"/>
        <v>30656611</v>
      </c>
      <c r="G236" s="10">
        <f t="shared" si="48"/>
        <v>8039088</v>
      </c>
      <c r="H236" s="10">
        <f t="shared" si="48"/>
        <v>3245234</v>
      </c>
      <c r="I236" s="10">
        <f t="shared" si="48"/>
        <v>412000</v>
      </c>
      <c r="J236" s="10">
        <f t="shared" si="48"/>
        <v>25464482</v>
      </c>
      <c r="K236" s="10">
        <f t="shared" si="48"/>
        <v>1043692</v>
      </c>
      <c r="L236" s="10">
        <f t="shared" si="48"/>
        <v>0</v>
      </c>
      <c r="M236" s="10">
        <f t="shared" si="48"/>
        <v>0</v>
      </c>
      <c r="N236" s="10">
        <f t="shared" si="48"/>
        <v>24420790</v>
      </c>
      <c r="O236" s="10">
        <f t="shared" si="48"/>
        <v>19720790</v>
      </c>
      <c r="P236" s="10">
        <f t="shared" si="34"/>
        <v>56623093</v>
      </c>
    </row>
    <row r="237" spans="1:16" hidden="1"/>
    <row r="238" spans="1:16" hidden="1"/>
    <row r="239" spans="1:16" hidden="1">
      <c r="B239" s="2" t="s">
        <v>94</v>
      </c>
      <c r="I239" s="2" t="s">
        <v>95</v>
      </c>
    </row>
    <row r="240" spans="1:16" hidden="1">
      <c r="A240" t="s">
        <v>0</v>
      </c>
      <c r="M240" t="s">
        <v>1</v>
      </c>
    </row>
    <row r="241" spans="1:16" hidden="1">
      <c r="M241" t="s">
        <v>120</v>
      </c>
    </row>
    <row r="242" spans="1:16" hidden="1"/>
    <row r="243" spans="1:16" hidden="1"/>
    <row r="244" spans="1:16" hidden="1">
      <c r="A244" s="92" t="s">
        <v>2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1:16" hidden="1">
      <c r="A245" s="92" t="s">
        <v>3</v>
      </c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1:16" hidden="1">
      <c r="P246" s="1" t="s">
        <v>4</v>
      </c>
    </row>
    <row r="247" spans="1:16" hidden="1">
      <c r="A247" s="94" t="s">
        <v>5</v>
      </c>
      <c r="B247" s="94" t="s">
        <v>6</v>
      </c>
      <c r="C247" s="94" t="s">
        <v>7</v>
      </c>
      <c r="D247" s="95" t="s">
        <v>8</v>
      </c>
      <c r="E247" s="95" t="s">
        <v>9</v>
      </c>
      <c r="F247" s="95"/>
      <c r="G247" s="95"/>
      <c r="H247" s="95"/>
      <c r="I247" s="95"/>
      <c r="J247" s="95" t="s">
        <v>16</v>
      </c>
      <c r="K247" s="95"/>
      <c r="L247" s="95"/>
      <c r="M247" s="95"/>
      <c r="N247" s="95"/>
      <c r="O247" s="95"/>
      <c r="P247" s="96" t="s">
        <v>18</v>
      </c>
    </row>
    <row r="248" spans="1:16" hidden="1">
      <c r="A248" s="95"/>
      <c r="B248" s="95"/>
      <c r="C248" s="95"/>
      <c r="D248" s="95"/>
      <c r="E248" s="96" t="s">
        <v>10</v>
      </c>
      <c r="F248" s="95" t="s">
        <v>11</v>
      </c>
      <c r="G248" s="95" t="s">
        <v>12</v>
      </c>
      <c r="H248" s="95"/>
      <c r="I248" s="95" t="s">
        <v>15</v>
      </c>
      <c r="J248" s="96" t="s">
        <v>10</v>
      </c>
      <c r="K248" s="95" t="s">
        <v>11</v>
      </c>
      <c r="L248" s="95" t="s">
        <v>12</v>
      </c>
      <c r="M248" s="95"/>
      <c r="N248" s="95" t="s">
        <v>15</v>
      </c>
      <c r="O248" s="29" t="s">
        <v>12</v>
      </c>
      <c r="P248" s="95"/>
    </row>
    <row r="249" spans="1:16" hidden="1">
      <c r="A249" s="95"/>
      <c r="B249" s="95"/>
      <c r="C249" s="95"/>
      <c r="D249" s="95"/>
      <c r="E249" s="95"/>
      <c r="F249" s="95"/>
      <c r="G249" s="95" t="s">
        <v>13</v>
      </c>
      <c r="H249" s="95" t="s">
        <v>14</v>
      </c>
      <c r="I249" s="95"/>
      <c r="J249" s="95"/>
      <c r="K249" s="95"/>
      <c r="L249" s="95" t="s">
        <v>13</v>
      </c>
      <c r="M249" s="95" t="s">
        <v>14</v>
      </c>
      <c r="N249" s="95"/>
      <c r="O249" s="95" t="s">
        <v>17</v>
      </c>
      <c r="P249" s="95"/>
    </row>
    <row r="250" spans="1:16" hidden="1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1:16" hidden="1">
      <c r="A251" s="29">
        <v>1</v>
      </c>
      <c r="B251" s="29">
        <v>2</v>
      </c>
      <c r="C251" s="29">
        <v>3</v>
      </c>
      <c r="D251" s="29">
        <v>4</v>
      </c>
      <c r="E251" s="30">
        <v>5</v>
      </c>
      <c r="F251" s="29">
        <v>6</v>
      </c>
      <c r="G251" s="29">
        <v>7</v>
      </c>
      <c r="H251" s="29">
        <v>8</v>
      </c>
      <c r="I251" s="29">
        <v>9</v>
      </c>
      <c r="J251" s="30">
        <v>10</v>
      </c>
      <c r="K251" s="29">
        <v>11</v>
      </c>
      <c r="L251" s="29">
        <v>12</v>
      </c>
      <c r="M251" s="29">
        <v>13</v>
      </c>
      <c r="N251" s="29">
        <v>14</v>
      </c>
      <c r="O251" s="29">
        <v>15</v>
      </c>
      <c r="P251" s="30">
        <v>16</v>
      </c>
    </row>
    <row r="252" spans="1:16" ht="76.5" hidden="1">
      <c r="A252" s="6" t="s">
        <v>19</v>
      </c>
      <c r="B252" s="7"/>
      <c r="C252" s="8"/>
      <c r="D252" s="9" t="s">
        <v>20</v>
      </c>
      <c r="E252" s="10">
        <f t="shared" ref="E252:O252" si="49">E253+E255+E258+E261+E264+E267+E271+E273+E276+E279+E281+E285+E287+E292</f>
        <v>27343186</v>
      </c>
      <c r="F252" s="10">
        <f t="shared" si="49"/>
        <v>26841186</v>
      </c>
      <c r="G252" s="10">
        <f t="shared" si="49"/>
        <v>5356606</v>
      </c>
      <c r="H252" s="10">
        <f t="shared" si="49"/>
        <v>2543537</v>
      </c>
      <c r="I252" s="10">
        <f t="shared" si="49"/>
        <v>412000</v>
      </c>
      <c r="J252" s="10">
        <f t="shared" si="49"/>
        <v>24943790</v>
      </c>
      <c r="K252" s="10">
        <f t="shared" si="49"/>
        <v>1138000</v>
      </c>
      <c r="L252" s="10">
        <f t="shared" si="49"/>
        <v>0</v>
      </c>
      <c r="M252" s="10">
        <f t="shared" si="49"/>
        <v>0</v>
      </c>
      <c r="N252" s="10">
        <f t="shared" si="49"/>
        <v>23805790</v>
      </c>
      <c r="O252" s="10">
        <f t="shared" si="49"/>
        <v>18905790</v>
      </c>
      <c r="P252" s="10">
        <f t="shared" ref="P252:P293" si="50">E252+J252</f>
        <v>52286976</v>
      </c>
    </row>
    <row r="253" spans="1:16" hidden="1">
      <c r="A253" s="7"/>
      <c r="B253" s="6" t="s">
        <v>21</v>
      </c>
      <c r="C253" s="8"/>
      <c r="D253" s="11" t="s">
        <v>22</v>
      </c>
      <c r="E253" s="10">
        <f t="shared" ref="E253:O253" si="51">E254</f>
        <v>6292818</v>
      </c>
      <c r="F253" s="11">
        <f t="shared" si="51"/>
        <v>6292818</v>
      </c>
      <c r="G253" s="11">
        <f t="shared" si="51"/>
        <v>3245930</v>
      </c>
      <c r="H253" s="11">
        <f t="shared" si="51"/>
        <v>843843</v>
      </c>
      <c r="I253" s="11">
        <f t="shared" si="51"/>
        <v>0</v>
      </c>
      <c r="J253" s="10">
        <f t="shared" si="51"/>
        <v>85000</v>
      </c>
      <c r="K253" s="11">
        <f t="shared" si="51"/>
        <v>35000</v>
      </c>
      <c r="L253" s="11">
        <f t="shared" si="51"/>
        <v>0</v>
      </c>
      <c r="M253" s="11">
        <f t="shared" si="51"/>
        <v>0</v>
      </c>
      <c r="N253" s="11">
        <f t="shared" si="51"/>
        <v>50000</v>
      </c>
      <c r="O253" s="11">
        <f t="shared" si="51"/>
        <v>50000</v>
      </c>
      <c r="P253" s="10">
        <f t="shared" si="50"/>
        <v>6377818</v>
      </c>
    </row>
    <row r="254" spans="1:16" ht="63.75" hidden="1">
      <c r="A254" s="29"/>
      <c r="B254" s="12" t="s">
        <v>24</v>
      </c>
      <c r="C254" s="13" t="s">
        <v>23</v>
      </c>
      <c r="D254" s="14" t="s">
        <v>25</v>
      </c>
      <c r="E254" s="15">
        <f>F254+I254</f>
        <v>6292818</v>
      </c>
      <c r="F254" s="14">
        <f>5623415+160000+150000+103343+256060</f>
        <v>6292818</v>
      </c>
      <c r="G254" s="14">
        <f>3049930+196000</f>
        <v>3245930</v>
      </c>
      <c r="H254" s="14">
        <f>548500+150000+128343+17000</f>
        <v>843843</v>
      </c>
      <c r="I254" s="14">
        <v>0</v>
      </c>
      <c r="J254" s="15">
        <f>K254+N254</f>
        <v>85000</v>
      </c>
      <c r="K254" s="14">
        <v>35000</v>
      </c>
      <c r="L254" s="14">
        <v>0</v>
      </c>
      <c r="M254" s="14">
        <v>0</v>
      </c>
      <c r="N254" s="14">
        <v>50000</v>
      </c>
      <c r="O254" s="14">
        <v>50000</v>
      </c>
      <c r="P254" s="15">
        <f t="shared" si="50"/>
        <v>6377818</v>
      </c>
    </row>
    <row r="255" spans="1:16" hidden="1">
      <c r="A255" s="7"/>
      <c r="B255" s="6" t="s">
        <v>26</v>
      </c>
      <c r="C255" s="8"/>
      <c r="D255" s="11" t="s">
        <v>27</v>
      </c>
      <c r="E255" s="10">
        <f t="shared" ref="E255:O255" si="52">E256+E257</f>
        <v>570000</v>
      </c>
      <c r="F255" s="11">
        <f t="shared" si="52"/>
        <v>570000</v>
      </c>
      <c r="G255" s="11">
        <f t="shared" si="52"/>
        <v>0</v>
      </c>
      <c r="H255" s="11">
        <f t="shared" si="52"/>
        <v>0</v>
      </c>
      <c r="I255" s="11">
        <f t="shared" si="52"/>
        <v>0</v>
      </c>
      <c r="J255" s="10">
        <f t="shared" si="52"/>
        <v>300000</v>
      </c>
      <c r="K255" s="11">
        <f t="shared" si="52"/>
        <v>0</v>
      </c>
      <c r="L255" s="11">
        <f t="shared" si="52"/>
        <v>0</v>
      </c>
      <c r="M255" s="11">
        <f t="shared" si="52"/>
        <v>0</v>
      </c>
      <c r="N255" s="11">
        <f t="shared" si="52"/>
        <v>300000</v>
      </c>
      <c r="O255" s="11">
        <f t="shared" si="52"/>
        <v>300000</v>
      </c>
      <c r="P255" s="10">
        <f t="shared" si="50"/>
        <v>870000</v>
      </c>
    </row>
    <row r="256" spans="1:16" ht="51" hidden="1">
      <c r="A256" s="29"/>
      <c r="B256" s="12" t="s">
        <v>29</v>
      </c>
      <c r="C256" s="13" t="s">
        <v>28</v>
      </c>
      <c r="D256" s="14" t="s">
        <v>30</v>
      </c>
      <c r="E256" s="15">
        <f>F256+I256</f>
        <v>200000</v>
      </c>
      <c r="F256" s="14">
        <v>200000</v>
      </c>
      <c r="G256" s="14"/>
      <c r="H256" s="14"/>
      <c r="I256" s="14">
        <v>0</v>
      </c>
      <c r="J256" s="15">
        <f>K256+N256</f>
        <v>300000</v>
      </c>
      <c r="K256" s="14">
        <v>0</v>
      </c>
      <c r="L256" s="14">
        <v>0</v>
      </c>
      <c r="M256" s="14">
        <v>0</v>
      </c>
      <c r="N256" s="14">
        <v>300000</v>
      </c>
      <c r="O256" s="14">
        <v>300000</v>
      </c>
      <c r="P256" s="15">
        <f t="shared" si="50"/>
        <v>500000</v>
      </c>
    </row>
    <row r="257" spans="1:16" hidden="1">
      <c r="A257" s="29"/>
      <c r="B257" s="12" t="s">
        <v>32</v>
      </c>
      <c r="C257" s="13" t="s">
        <v>31</v>
      </c>
      <c r="D257" s="14" t="s">
        <v>33</v>
      </c>
      <c r="E257" s="15">
        <f>F257+I257</f>
        <v>370000</v>
      </c>
      <c r="F257" s="14">
        <f>340000+30000</f>
        <v>370000</v>
      </c>
      <c r="G257" s="14">
        <v>0</v>
      </c>
      <c r="H257" s="14">
        <v>0</v>
      </c>
      <c r="I257" s="14">
        <v>0</v>
      </c>
      <c r="J257" s="15">
        <f>K257+N257</f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f t="shared" si="50"/>
        <v>370000</v>
      </c>
    </row>
    <row r="258" spans="1:16" hidden="1">
      <c r="A258" s="7"/>
      <c r="B258" s="6" t="s">
        <v>34</v>
      </c>
      <c r="C258" s="8"/>
      <c r="D258" s="11" t="s">
        <v>35</v>
      </c>
      <c r="E258" s="10">
        <f t="shared" ref="E258:O258" si="53">E259+E260</f>
        <v>1061000</v>
      </c>
      <c r="F258" s="11">
        <f t="shared" si="53"/>
        <v>1061000</v>
      </c>
      <c r="G258" s="11">
        <f t="shared" si="53"/>
        <v>5738</v>
      </c>
      <c r="H258" s="11">
        <f t="shared" si="53"/>
        <v>0</v>
      </c>
      <c r="I258" s="11">
        <f t="shared" si="53"/>
        <v>0</v>
      </c>
      <c r="J258" s="23">
        <f t="shared" si="53"/>
        <v>0</v>
      </c>
      <c r="K258" s="11">
        <f t="shared" si="53"/>
        <v>0</v>
      </c>
      <c r="L258" s="11">
        <f t="shared" si="53"/>
        <v>0</v>
      </c>
      <c r="M258" s="11">
        <f t="shared" si="53"/>
        <v>0</v>
      </c>
      <c r="N258" s="11">
        <f t="shared" si="53"/>
        <v>0</v>
      </c>
      <c r="O258" s="11">
        <f t="shared" si="53"/>
        <v>0</v>
      </c>
      <c r="P258" s="10">
        <f t="shared" si="50"/>
        <v>1061000</v>
      </c>
    </row>
    <row r="259" spans="1:16" hidden="1">
      <c r="A259" s="7"/>
      <c r="B259" s="20">
        <v>3240</v>
      </c>
      <c r="C259" s="13" t="s">
        <v>105</v>
      </c>
      <c r="D259" s="21" t="s">
        <v>106</v>
      </c>
      <c r="E259" s="22">
        <f>F259+I259</f>
        <v>7000</v>
      </c>
      <c r="F259" s="21">
        <v>7000</v>
      </c>
      <c r="G259" s="21">
        <v>5738</v>
      </c>
      <c r="H259" s="21">
        <v>0</v>
      </c>
      <c r="I259" s="21">
        <v>0</v>
      </c>
      <c r="J259" s="22">
        <f>K259+N259</f>
        <v>0</v>
      </c>
      <c r="K259" s="11"/>
      <c r="L259" s="11"/>
      <c r="M259" s="11"/>
      <c r="N259" s="11"/>
      <c r="O259" s="11"/>
      <c r="P259" s="15">
        <f t="shared" si="50"/>
        <v>7000</v>
      </c>
    </row>
    <row r="260" spans="1:16" hidden="1">
      <c r="A260" s="29"/>
      <c r="B260" s="12" t="s">
        <v>37</v>
      </c>
      <c r="C260" s="13" t="s">
        <v>36</v>
      </c>
      <c r="D260" s="14" t="s">
        <v>38</v>
      </c>
      <c r="E260" s="15">
        <f>F260+I260</f>
        <v>1054000</v>
      </c>
      <c r="F260" s="14">
        <f>781000+243000+30000</f>
        <v>1054000</v>
      </c>
      <c r="G260" s="14">
        <v>0</v>
      </c>
      <c r="H260" s="14">
        <v>0</v>
      </c>
      <c r="I260" s="14">
        <v>0</v>
      </c>
      <c r="J260" s="15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f t="shared" si="50"/>
        <v>1054000</v>
      </c>
    </row>
    <row r="261" spans="1:16" hidden="1">
      <c r="A261" s="7"/>
      <c r="B261" s="6" t="s">
        <v>39</v>
      </c>
      <c r="C261" s="8"/>
      <c r="D261" s="11" t="s">
        <v>40</v>
      </c>
      <c r="E261" s="10">
        <f t="shared" ref="E261:O261" si="54">E262+E263</f>
        <v>4763341</v>
      </c>
      <c r="F261" s="11">
        <f t="shared" si="54"/>
        <v>4763341</v>
      </c>
      <c r="G261" s="11">
        <f t="shared" si="54"/>
        <v>2104938</v>
      </c>
      <c r="H261" s="11">
        <f t="shared" si="54"/>
        <v>880284</v>
      </c>
      <c r="I261" s="11">
        <f t="shared" si="54"/>
        <v>0</v>
      </c>
      <c r="J261" s="10">
        <f t="shared" si="54"/>
        <v>535000</v>
      </c>
      <c r="K261" s="11">
        <f t="shared" si="54"/>
        <v>5000</v>
      </c>
      <c r="L261" s="11">
        <f t="shared" si="54"/>
        <v>0</v>
      </c>
      <c r="M261" s="11">
        <f t="shared" si="54"/>
        <v>0</v>
      </c>
      <c r="N261" s="11">
        <f t="shared" si="54"/>
        <v>530000</v>
      </c>
      <c r="O261" s="11">
        <f t="shared" si="54"/>
        <v>530000</v>
      </c>
      <c r="P261" s="10">
        <f t="shared" si="50"/>
        <v>5298341</v>
      </c>
    </row>
    <row r="262" spans="1:16" hidden="1">
      <c r="A262" s="29"/>
      <c r="B262" s="12" t="s">
        <v>42</v>
      </c>
      <c r="C262" s="13" t="s">
        <v>41</v>
      </c>
      <c r="D262" s="14" t="s">
        <v>43</v>
      </c>
      <c r="E262" s="15">
        <f>F262+I262</f>
        <v>246486</v>
      </c>
      <c r="F262" s="14">
        <f>244486+2000</f>
        <v>246486</v>
      </c>
      <c r="G262" s="14">
        <v>195480</v>
      </c>
      <c r="H262" s="14">
        <v>0</v>
      </c>
      <c r="I262" s="14">
        <v>0</v>
      </c>
      <c r="J262" s="15">
        <f>K262+N262</f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5">
        <f t="shared" si="50"/>
        <v>246486</v>
      </c>
    </row>
    <row r="263" spans="1:16" ht="25.5" hidden="1">
      <c r="A263" s="29"/>
      <c r="B263" s="12" t="s">
        <v>45</v>
      </c>
      <c r="C263" s="13" t="s">
        <v>44</v>
      </c>
      <c r="D263" s="14" t="s">
        <v>46</v>
      </c>
      <c r="E263" s="15">
        <f>F263+I263</f>
        <v>4516855</v>
      </c>
      <c r="F263" s="14">
        <f>3953075+400000+96780+67000</f>
        <v>4516855</v>
      </c>
      <c r="G263" s="14">
        <f>1879976+29482</f>
        <v>1909458</v>
      </c>
      <c r="H263" s="14">
        <f>770504+108780+1000</f>
        <v>880284</v>
      </c>
      <c r="I263" s="14">
        <v>0</v>
      </c>
      <c r="J263" s="15">
        <f>K263+N263</f>
        <v>535000</v>
      </c>
      <c r="K263" s="14">
        <v>5000</v>
      </c>
      <c r="L263" s="14">
        <v>0</v>
      </c>
      <c r="M263" s="14">
        <v>0</v>
      </c>
      <c r="N263" s="14">
        <f>45000+235000+300000-50000</f>
        <v>530000</v>
      </c>
      <c r="O263" s="14">
        <f>45000+235000+300000-50000</f>
        <v>530000</v>
      </c>
      <c r="P263" s="15">
        <f t="shared" si="50"/>
        <v>5051855</v>
      </c>
    </row>
    <row r="264" spans="1:16" hidden="1">
      <c r="A264" s="7"/>
      <c r="B264" s="6" t="s">
        <v>47</v>
      </c>
      <c r="C264" s="8"/>
      <c r="D264" s="11" t="s">
        <v>48</v>
      </c>
      <c r="E264" s="10">
        <f t="shared" ref="E264:O264" si="55">E265</f>
        <v>2858300</v>
      </c>
      <c r="F264" s="11">
        <f t="shared" si="55"/>
        <v>2858300</v>
      </c>
      <c r="G264" s="11">
        <f t="shared" si="55"/>
        <v>0</v>
      </c>
      <c r="H264" s="11">
        <f t="shared" si="55"/>
        <v>0</v>
      </c>
      <c r="I264" s="11">
        <f t="shared" si="55"/>
        <v>0</v>
      </c>
      <c r="J264" s="10">
        <f t="shared" si="55"/>
        <v>893700</v>
      </c>
      <c r="K264" s="11">
        <f t="shared" si="55"/>
        <v>0</v>
      </c>
      <c r="L264" s="11">
        <f t="shared" si="55"/>
        <v>0</v>
      </c>
      <c r="M264" s="11">
        <f t="shared" si="55"/>
        <v>0</v>
      </c>
      <c r="N264" s="11">
        <f t="shared" si="55"/>
        <v>893700</v>
      </c>
      <c r="O264" s="11">
        <f t="shared" si="55"/>
        <v>893700</v>
      </c>
      <c r="P264" s="10">
        <f t="shared" si="50"/>
        <v>3752000</v>
      </c>
    </row>
    <row r="265" spans="1:16" ht="38.25" hidden="1">
      <c r="A265" s="29"/>
      <c r="B265" s="12">
        <v>5032</v>
      </c>
      <c r="C265" s="13" t="s">
        <v>49</v>
      </c>
      <c r="D265" s="14" t="s">
        <v>51</v>
      </c>
      <c r="E265" s="15">
        <f>F265+I265</f>
        <v>2858300</v>
      </c>
      <c r="F265" s="14">
        <f>2578300+280000</f>
        <v>2858300</v>
      </c>
      <c r="G265" s="14">
        <v>0</v>
      </c>
      <c r="H265" s="14">
        <v>0</v>
      </c>
      <c r="I265" s="14">
        <v>0</v>
      </c>
      <c r="J265" s="15">
        <f>K265+N265</f>
        <v>893700</v>
      </c>
      <c r="K265" s="14">
        <v>0</v>
      </c>
      <c r="L265" s="14">
        <v>0</v>
      </c>
      <c r="M265" s="14">
        <v>0</v>
      </c>
      <c r="N265" s="14">
        <f>873700+300000-280000</f>
        <v>893700</v>
      </c>
      <c r="O265" s="14">
        <f>873700+300000-280000</f>
        <v>893700</v>
      </c>
      <c r="P265" s="15">
        <f t="shared" si="50"/>
        <v>3752000</v>
      </c>
    </row>
    <row r="266" spans="1:16" hidden="1">
      <c r="A266" s="29"/>
      <c r="B266" s="12"/>
      <c r="C266" s="13"/>
      <c r="D266" s="11" t="s">
        <v>107</v>
      </c>
      <c r="E266" s="15">
        <f>F266+I266</f>
        <v>2578300</v>
      </c>
      <c r="F266" s="14">
        <v>2578300</v>
      </c>
      <c r="G266" s="14">
        <v>0</v>
      </c>
      <c r="H266" s="14">
        <v>0</v>
      </c>
      <c r="I266" s="14">
        <v>0</v>
      </c>
      <c r="J266" s="15">
        <f>K266+N266</f>
        <v>1173700</v>
      </c>
      <c r="K266" s="14">
        <v>0</v>
      </c>
      <c r="L266" s="14">
        <v>0</v>
      </c>
      <c r="M266" s="14">
        <v>0</v>
      </c>
      <c r="N266" s="14">
        <f>873700+300000</f>
        <v>1173700</v>
      </c>
      <c r="O266" s="14">
        <f>873700+300000</f>
        <v>1173700</v>
      </c>
      <c r="P266" s="15">
        <f t="shared" si="50"/>
        <v>3752000</v>
      </c>
    </row>
    <row r="267" spans="1:16" hidden="1">
      <c r="A267" s="7"/>
      <c r="B267" s="6" t="s">
        <v>52</v>
      </c>
      <c r="C267" s="8"/>
      <c r="D267" s="11" t="s">
        <v>53</v>
      </c>
      <c r="E267" s="10">
        <f t="shared" ref="E267:O267" si="56">E268+E270</f>
        <v>6025817</v>
      </c>
      <c r="F267" s="11">
        <f t="shared" si="56"/>
        <v>5943817</v>
      </c>
      <c r="G267" s="11">
        <f t="shared" si="56"/>
        <v>0</v>
      </c>
      <c r="H267" s="11">
        <f t="shared" si="56"/>
        <v>819410</v>
      </c>
      <c r="I267" s="11">
        <f t="shared" si="56"/>
        <v>82000</v>
      </c>
      <c r="J267" s="10">
        <f t="shared" si="56"/>
        <v>4090000</v>
      </c>
      <c r="K267" s="11">
        <f t="shared" si="56"/>
        <v>0</v>
      </c>
      <c r="L267" s="11">
        <f t="shared" si="56"/>
        <v>0</v>
      </c>
      <c r="M267" s="11">
        <f t="shared" si="56"/>
        <v>0</v>
      </c>
      <c r="N267" s="11">
        <f t="shared" si="56"/>
        <v>4090000</v>
      </c>
      <c r="O267" s="11">
        <f t="shared" si="56"/>
        <v>4090000</v>
      </c>
      <c r="P267" s="10">
        <f t="shared" si="50"/>
        <v>10115817</v>
      </c>
    </row>
    <row r="268" spans="1:16" ht="25.5" hidden="1">
      <c r="A268" s="7"/>
      <c r="B268" s="20">
        <v>6052</v>
      </c>
      <c r="C268" s="13" t="s">
        <v>54</v>
      </c>
      <c r="D268" s="21" t="s">
        <v>108</v>
      </c>
      <c r="E268" s="10">
        <f>F268+I268</f>
        <v>142000</v>
      </c>
      <c r="F268" s="21">
        <v>60000</v>
      </c>
      <c r="G268" s="21">
        <v>0</v>
      </c>
      <c r="H268" s="21">
        <v>0</v>
      </c>
      <c r="I268" s="21">
        <f>442000-360000</f>
        <v>82000</v>
      </c>
      <c r="J268" s="10">
        <f>K268+N268</f>
        <v>960000</v>
      </c>
      <c r="K268" s="21">
        <v>0</v>
      </c>
      <c r="L268" s="21">
        <v>0</v>
      </c>
      <c r="M268" s="21">
        <v>0</v>
      </c>
      <c r="N268" s="21">
        <v>960000</v>
      </c>
      <c r="O268" s="21">
        <v>960000</v>
      </c>
      <c r="P268" s="15">
        <f t="shared" si="50"/>
        <v>1102000</v>
      </c>
    </row>
    <row r="269" spans="1:16" hidden="1">
      <c r="A269" s="7"/>
      <c r="B269" s="20"/>
      <c r="C269" s="13"/>
      <c r="D269" s="11" t="s">
        <v>109</v>
      </c>
      <c r="E269" s="10">
        <f>F269+I269</f>
        <v>82000</v>
      </c>
      <c r="F269" s="21">
        <v>0</v>
      </c>
      <c r="G269" s="21">
        <v>0</v>
      </c>
      <c r="H269" s="21">
        <v>0</v>
      </c>
      <c r="I269" s="21">
        <f>442000-360000</f>
        <v>82000</v>
      </c>
      <c r="J269" s="10">
        <f>K269+N269</f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15">
        <f t="shared" si="50"/>
        <v>82000</v>
      </c>
    </row>
    <row r="270" spans="1:16" hidden="1">
      <c r="A270" s="29"/>
      <c r="B270" s="12" t="s">
        <v>55</v>
      </c>
      <c r="C270" s="13" t="s">
        <v>54</v>
      </c>
      <c r="D270" s="14" t="s">
        <v>56</v>
      </c>
      <c r="E270" s="15">
        <f>F270+I270</f>
        <v>5883817</v>
      </c>
      <c r="F270" s="14">
        <f>5429000+150000+200000-196123+250940+50000</f>
        <v>5883817</v>
      </c>
      <c r="G270" s="14">
        <v>0</v>
      </c>
      <c r="H270" s="14">
        <f>575000+150000+94410</f>
        <v>819410</v>
      </c>
      <c r="I270" s="14">
        <v>0</v>
      </c>
      <c r="J270" s="15">
        <f>K270+N270</f>
        <v>3130000</v>
      </c>
      <c r="K270" s="14">
        <v>0</v>
      </c>
      <c r="L270" s="14">
        <v>0</v>
      </c>
      <c r="M270" s="14">
        <v>0</v>
      </c>
      <c r="N270" s="14">
        <f>200000+2880000+50000</f>
        <v>3130000</v>
      </c>
      <c r="O270" s="14">
        <f>200000+2880000+50000</f>
        <v>3130000</v>
      </c>
      <c r="P270" s="15">
        <f t="shared" si="50"/>
        <v>9013817</v>
      </c>
    </row>
    <row r="271" spans="1:16" hidden="1">
      <c r="A271" s="7"/>
      <c r="B271" s="6" t="s">
        <v>57</v>
      </c>
      <c r="C271" s="8"/>
      <c r="D271" s="11" t="s">
        <v>58</v>
      </c>
      <c r="E271" s="10">
        <f>E272</f>
        <v>0</v>
      </c>
      <c r="F271" s="11">
        <f>F272</f>
        <v>0</v>
      </c>
      <c r="G271" s="11">
        <f>G272</f>
        <v>0</v>
      </c>
      <c r="H271" s="11">
        <f>H272</f>
        <v>0</v>
      </c>
      <c r="I271" s="11">
        <f>I272</f>
        <v>0</v>
      </c>
      <c r="J271" s="10">
        <f>K271+N271</f>
        <v>4800000</v>
      </c>
      <c r="K271" s="11">
        <f>K272</f>
        <v>0</v>
      </c>
      <c r="L271" s="11">
        <f>L272</f>
        <v>0</v>
      </c>
      <c r="M271" s="11">
        <f>M272</f>
        <v>0</v>
      </c>
      <c r="N271" s="11">
        <f>N272</f>
        <v>4800000</v>
      </c>
      <c r="O271" s="11">
        <f>O272</f>
        <v>4800000</v>
      </c>
      <c r="P271" s="10">
        <f t="shared" si="50"/>
        <v>4800000</v>
      </c>
    </row>
    <row r="272" spans="1:16" ht="25.5" hidden="1">
      <c r="A272" s="29"/>
      <c r="B272" s="12" t="s">
        <v>60</v>
      </c>
      <c r="C272" s="13" t="s">
        <v>59</v>
      </c>
      <c r="D272" s="14" t="s">
        <v>61</v>
      </c>
      <c r="E272" s="15">
        <f>F272+I272</f>
        <v>0</v>
      </c>
      <c r="F272" s="14">
        <v>0</v>
      </c>
      <c r="G272" s="14">
        <v>0</v>
      </c>
      <c r="H272" s="14">
        <v>0</v>
      </c>
      <c r="I272" s="14">
        <v>0</v>
      </c>
      <c r="J272" s="15">
        <f>K272+N272</f>
        <v>4800000</v>
      </c>
      <c r="K272" s="14">
        <v>0</v>
      </c>
      <c r="L272" s="14">
        <v>0</v>
      </c>
      <c r="M272" s="14">
        <v>0</v>
      </c>
      <c r="N272" s="14">
        <f>2000000+2800000</f>
        <v>4800000</v>
      </c>
      <c r="O272" s="14">
        <f>2000000+2800000</f>
        <v>4800000</v>
      </c>
      <c r="P272" s="15">
        <f t="shared" si="50"/>
        <v>4800000</v>
      </c>
    </row>
    <row r="273" spans="1:16" ht="25.5" hidden="1">
      <c r="A273" s="7"/>
      <c r="B273" s="6" t="s">
        <v>62</v>
      </c>
      <c r="C273" s="8"/>
      <c r="D273" s="11" t="s">
        <v>63</v>
      </c>
      <c r="E273" s="10">
        <f t="shared" ref="E273:O273" si="57">E274</f>
        <v>1290000</v>
      </c>
      <c r="F273" s="11">
        <f t="shared" si="57"/>
        <v>990000</v>
      </c>
      <c r="G273" s="11">
        <f t="shared" si="57"/>
        <v>0</v>
      </c>
      <c r="H273" s="11">
        <f t="shared" si="57"/>
        <v>0</v>
      </c>
      <c r="I273" s="11">
        <f t="shared" si="57"/>
        <v>300000</v>
      </c>
      <c r="J273" s="10">
        <f t="shared" si="57"/>
        <v>2177090</v>
      </c>
      <c r="K273" s="11">
        <f t="shared" si="57"/>
        <v>0</v>
      </c>
      <c r="L273" s="11">
        <f t="shared" si="57"/>
        <v>0</v>
      </c>
      <c r="M273" s="11">
        <f t="shared" si="57"/>
        <v>0</v>
      </c>
      <c r="N273" s="11">
        <f t="shared" si="57"/>
        <v>2177090</v>
      </c>
      <c r="O273" s="11">
        <f t="shared" si="57"/>
        <v>2177090</v>
      </c>
      <c r="P273" s="10">
        <f t="shared" si="50"/>
        <v>3467090</v>
      </c>
    </row>
    <row r="274" spans="1:16" hidden="1">
      <c r="A274" s="29"/>
      <c r="B274" s="12" t="s">
        <v>65</v>
      </c>
      <c r="C274" s="13" t="s">
        <v>64</v>
      </c>
      <c r="D274" s="14" t="s">
        <v>66</v>
      </c>
      <c r="E274" s="15">
        <f>F274+I274</f>
        <v>1290000</v>
      </c>
      <c r="F274" s="14">
        <f>300000+150000-50000+590000</f>
        <v>990000</v>
      </c>
      <c r="G274" s="14">
        <v>0</v>
      </c>
      <c r="H274" s="14">
        <v>0</v>
      </c>
      <c r="I274" s="14">
        <f>100000+150000+50000</f>
        <v>300000</v>
      </c>
      <c r="J274" s="15">
        <f>K274+N274</f>
        <v>2177090</v>
      </c>
      <c r="K274" s="14">
        <v>0</v>
      </c>
      <c r="L274" s="14">
        <v>0</v>
      </c>
      <c r="M274" s="14">
        <v>0</v>
      </c>
      <c r="N274" s="14">
        <f>1000000+1177090</f>
        <v>2177090</v>
      </c>
      <c r="O274" s="14">
        <f>1000000+1177090</f>
        <v>2177090</v>
      </c>
      <c r="P274" s="15">
        <f t="shared" si="50"/>
        <v>3467090</v>
      </c>
    </row>
    <row r="275" spans="1:16" hidden="1">
      <c r="A275" s="29"/>
      <c r="B275" s="12"/>
      <c r="C275" s="13"/>
      <c r="D275" s="11" t="s">
        <v>110</v>
      </c>
      <c r="E275" s="15">
        <f>F275+I275</f>
        <v>300000</v>
      </c>
      <c r="F275" s="14">
        <v>0</v>
      </c>
      <c r="G275" s="14">
        <v>0</v>
      </c>
      <c r="H275" s="14">
        <v>0</v>
      </c>
      <c r="I275" s="14">
        <f>100000+150000+50000</f>
        <v>300000</v>
      </c>
      <c r="J275" s="15">
        <f>K275+N275</f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f t="shared" si="50"/>
        <v>300000</v>
      </c>
    </row>
    <row r="276" spans="1:16" hidden="1">
      <c r="A276" s="7"/>
      <c r="B276" s="6" t="s">
        <v>67</v>
      </c>
      <c r="C276" s="8"/>
      <c r="D276" s="11" t="s">
        <v>68</v>
      </c>
      <c r="E276" s="10">
        <f t="shared" ref="E276:O276" si="58">E277</f>
        <v>200000</v>
      </c>
      <c r="F276" s="11">
        <f t="shared" si="58"/>
        <v>200000</v>
      </c>
      <c r="G276" s="11">
        <f t="shared" si="58"/>
        <v>0</v>
      </c>
      <c r="H276" s="11">
        <f t="shared" si="58"/>
        <v>0</v>
      </c>
      <c r="I276" s="11">
        <f t="shared" si="58"/>
        <v>0</v>
      </c>
      <c r="J276" s="10">
        <f t="shared" si="58"/>
        <v>0</v>
      </c>
      <c r="K276" s="11">
        <f t="shared" si="58"/>
        <v>0</v>
      </c>
      <c r="L276" s="11">
        <f t="shared" si="58"/>
        <v>0</v>
      </c>
      <c r="M276" s="11">
        <f t="shared" si="58"/>
        <v>0</v>
      </c>
      <c r="N276" s="11">
        <f t="shared" si="58"/>
        <v>0</v>
      </c>
      <c r="O276" s="11">
        <f t="shared" si="58"/>
        <v>0</v>
      </c>
      <c r="P276" s="10">
        <f t="shared" si="50"/>
        <v>200000</v>
      </c>
    </row>
    <row r="277" spans="1:16" ht="25.5" hidden="1">
      <c r="A277" s="29"/>
      <c r="B277" s="12" t="s">
        <v>70</v>
      </c>
      <c r="C277" s="13" t="s">
        <v>69</v>
      </c>
      <c r="D277" s="14" t="s">
        <v>71</v>
      </c>
      <c r="E277" s="15">
        <f>F277+I277</f>
        <v>200000</v>
      </c>
      <c r="F277" s="14">
        <v>200000</v>
      </c>
      <c r="G277" s="14">
        <v>0</v>
      </c>
      <c r="H277" s="14">
        <v>0</v>
      </c>
      <c r="I277" s="14">
        <v>0</v>
      </c>
      <c r="J277" s="15">
        <f>K277+N277</f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5">
        <f t="shared" si="50"/>
        <v>200000</v>
      </c>
    </row>
    <row r="278" spans="1:16" hidden="1">
      <c r="A278" s="29"/>
      <c r="B278" s="12"/>
      <c r="C278" s="13"/>
      <c r="D278" s="11" t="s">
        <v>111</v>
      </c>
      <c r="E278" s="15">
        <f>F278+I278</f>
        <v>200000</v>
      </c>
      <c r="F278" s="14">
        <v>200000</v>
      </c>
      <c r="G278" s="14">
        <v>0</v>
      </c>
      <c r="H278" s="14">
        <v>0</v>
      </c>
      <c r="I278" s="14">
        <v>0</v>
      </c>
      <c r="J278" s="15">
        <f>K278+N278</f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5">
        <f t="shared" si="50"/>
        <v>200000</v>
      </c>
    </row>
    <row r="279" spans="1:16" ht="25.5" hidden="1">
      <c r="A279" s="7"/>
      <c r="B279" s="6" t="s">
        <v>72</v>
      </c>
      <c r="C279" s="8"/>
      <c r="D279" s="11" t="s">
        <v>73</v>
      </c>
      <c r="E279" s="10">
        <f t="shared" ref="E279:O279" si="59">E280</f>
        <v>96000</v>
      </c>
      <c r="F279" s="11">
        <f t="shared" si="59"/>
        <v>66000</v>
      </c>
      <c r="G279" s="11">
        <f t="shared" si="59"/>
        <v>0</v>
      </c>
      <c r="H279" s="11">
        <f t="shared" si="59"/>
        <v>0</v>
      </c>
      <c r="I279" s="11">
        <f t="shared" si="59"/>
        <v>30000</v>
      </c>
      <c r="J279" s="10">
        <f t="shared" si="59"/>
        <v>500000</v>
      </c>
      <c r="K279" s="11">
        <f t="shared" si="59"/>
        <v>0</v>
      </c>
      <c r="L279" s="11">
        <f t="shared" si="59"/>
        <v>0</v>
      </c>
      <c r="M279" s="11">
        <f t="shared" si="59"/>
        <v>0</v>
      </c>
      <c r="N279" s="11">
        <f t="shared" si="59"/>
        <v>500000</v>
      </c>
      <c r="O279" s="11">
        <f t="shared" si="59"/>
        <v>500000</v>
      </c>
      <c r="P279" s="10">
        <f t="shared" si="50"/>
        <v>596000</v>
      </c>
    </row>
    <row r="280" spans="1:16" hidden="1">
      <c r="A280" s="29"/>
      <c r="B280" s="12" t="s">
        <v>75</v>
      </c>
      <c r="C280" s="13" t="s">
        <v>74</v>
      </c>
      <c r="D280" s="14" t="s">
        <v>76</v>
      </c>
      <c r="E280" s="15">
        <f>F280+I280</f>
        <v>96000</v>
      </c>
      <c r="F280" s="14">
        <f>100000-4000-30000</f>
        <v>66000</v>
      </c>
      <c r="G280" s="14">
        <v>0</v>
      </c>
      <c r="H280" s="14">
        <v>0</v>
      </c>
      <c r="I280" s="14">
        <v>30000</v>
      </c>
      <c r="J280" s="15">
        <f>K280+N280</f>
        <v>500000</v>
      </c>
      <c r="K280" s="14">
        <v>0</v>
      </c>
      <c r="L280" s="14">
        <v>0</v>
      </c>
      <c r="M280" s="14">
        <v>0</v>
      </c>
      <c r="N280" s="14">
        <v>500000</v>
      </c>
      <c r="O280" s="14">
        <v>500000</v>
      </c>
      <c r="P280" s="15">
        <f t="shared" si="50"/>
        <v>596000</v>
      </c>
    </row>
    <row r="281" spans="1:16" ht="25.5" hidden="1">
      <c r="A281" s="29"/>
      <c r="B281" s="6">
        <v>7400</v>
      </c>
      <c r="C281" s="13"/>
      <c r="D281" s="11" t="s">
        <v>112</v>
      </c>
      <c r="E281" s="10">
        <f t="shared" ref="E281:O281" si="60">E282</f>
        <v>0</v>
      </c>
      <c r="F281" s="11">
        <f t="shared" si="60"/>
        <v>0</v>
      </c>
      <c r="G281" s="11">
        <f t="shared" si="60"/>
        <v>0</v>
      </c>
      <c r="H281" s="11">
        <f t="shared" si="60"/>
        <v>0</v>
      </c>
      <c r="I281" s="11">
        <f t="shared" si="60"/>
        <v>0</v>
      </c>
      <c r="J281" s="10">
        <f t="shared" si="60"/>
        <v>4990000</v>
      </c>
      <c r="K281" s="11">
        <f t="shared" si="60"/>
        <v>0</v>
      </c>
      <c r="L281" s="11">
        <f t="shared" si="60"/>
        <v>0</v>
      </c>
      <c r="M281" s="11">
        <f t="shared" si="60"/>
        <v>0</v>
      </c>
      <c r="N281" s="11">
        <f t="shared" si="60"/>
        <v>4990000</v>
      </c>
      <c r="O281" s="11">
        <f t="shared" si="60"/>
        <v>4290000</v>
      </c>
      <c r="P281" s="10">
        <f t="shared" si="50"/>
        <v>4990000</v>
      </c>
    </row>
    <row r="282" spans="1:16" ht="25.5" hidden="1">
      <c r="A282" s="29"/>
      <c r="B282" s="12">
        <v>7470</v>
      </c>
      <c r="C282" s="13" t="s">
        <v>59</v>
      </c>
      <c r="D282" s="14" t="s">
        <v>113</v>
      </c>
      <c r="E282" s="15">
        <f>F282+I282</f>
        <v>0</v>
      </c>
      <c r="F282" s="14">
        <v>0</v>
      </c>
      <c r="G282" s="14">
        <v>0</v>
      </c>
      <c r="H282" s="14">
        <v>0</v>
      </c>
      <c r="I282" s="14">
        <v>0</v>
      </c>
      <c r="J282" s="15">
        <f>K282+N282</f>
        <v>4990000</v>
      </c>
      <c r="K282" s="14">
        <v>0</v>
      </c>
      <c r="L282" s="14">
        <v>0</v>
      </c>
      <c r="M282" s="14">
        <v>0</v>
      </c>
      <c r="N282" s="14">
        <f>3730000+700000+560000</f>
        <v>4990000</v>
      </c>
      <c r="O282" s="14">
        <f>3730000+560000</f>
        <v>4290000</v>
      </c>
      <c r="P282" s="15">
        <f t="shared" si="50"/>
        <v>4990000</v>
      </c>
    </row>
    <row r="283" spans="1:16" hidden="1">
      <c r="A283" s="29"/>
      <c r="B283" s="12"/>
      <c r="C283" s="13"/>
      <c r="D283" s="11" t="s">
        <v>109</v>
      </c>
      <c r="E283" s="15">
        <f>F283+I283</f>
        <v>0</v>
      </c>
      <c r="F283" s="14">
        <v>0</v>
      </c>
      <c r="G283" s="14">
        <v>0</v>
      </c>
      <c r="H283" s="14">
        <v>0</v>
      </c>
      <c r="I283" s="14">
        <v>0</v>
      </c>
      <c r="J283" s="15">
        <f>K283+N283</f>
        <v>2590000</v>
      </c>
      <c r="K283" s="14">
        <v>0</v>
      </c>
      <c r="L283" s="14">
        <v>0</v>
      </c>
      <c r="M283" s="14">
        <v>0</v>
      </c>
      <c r="N283" s="14">
        <f>1330000+700000+200000+360000</f>
        <v>2590000</v>
      </c>
      <c r="O283" s="14">
        <f>1330000+200000+360000</f>
        <v>1890000</v>
      </c>
      <c r="P283" s="15">
        <f t="shared" si="50"/>
        <v>2590000</v>
      </c>
    </row>
    <row r="284" spans="1:16" hidden="1">
      <c r="A284" s="29"/>
      <c r="B284" s="12"/>
      <c r="C284" s="13"/>
      <c r="D284" s="11" t="s">
        <v>111</v>
      </c>
      <c r="E284" s="15">
        <f>F284+I284</f>
        <v>0</v>
      </c>
      <c r="F284" s="14">
        <v>0</v>
      </c>
      <c r="G284" s="14">
        <v>0</v>
      </c>
      <c r="H284" s="14">
        <v>0</v>
      </c>
      <c r="I284" s="14">
        <v>0</v>
      </c>
      <c r="J284" s="15">
        <f>K284+N284</f>
        <v>2400000</v>
      </c>
      <c r="K284" s="14">
        <v>0</v>
      </c>
      <c r="L284" s="14">
        <v>0</v>
      </c>
      <c r="M284" s="14">
        <v>0</v>
      </c>
      <c r="N284" s="14">
        <v>2400000</v>
      </c>
      <c r="O284" s="14">
        <v>2400000</v>
      </c>
      <c r="P284" s="15">
        <f t="shared" si="50"/>
        <v>2400000</v>
      </c>
    </row>
    <row r="285" spans="1:16" ht="25.5" hidden="1">
      <c r="A285" s="7"/>
      <c r="B285" s="6" t="s">
        <v>77</v>
      </c>
      <c r="C285" s="8"/>
      <c r="D285" s="11" t="s">
        <v>78</v>
      </c>
      <c r="E285" s="10">
        <f>E286</f>
        <v>0</v>
      </c>
      <c r="F285" s="11">
        <v>0</v>
      </c>
      <c r="G285" s="11">
        <v>0</v>
      </c>
      <c r="H285" s="11">
        <v>0</v>
      </c>
      <c r="I285" s="11">
        <v>0</v>
      </c>
      <c r="J285" s="10">
        <f>J286</f>
        <v>5000</v>
      </c>
      <c r="K285" s="11">
        <v>5000</v>
      </c>
      <c r="L285" s="11">
        <v>0</v>
      </c>
      <c r="M285" s="11">
        <v>0</v>
      </c>
      <c r="N285" s="11">
        <v>0</v>
      </c>
      <c r="O285" s="11">
        <v>0</v>
      </c>
      <c r="P285" s="10">
        <f t="shared" si="50"/>
        <v>5000</v>
      </c>
    </row>
    <row r="286" spans="1:16" hidden="1">
      <c r="A286" s="29"/>
      <c r="B286" s="12" t="s">
        <v>80</v>
      </c>
      <c r="C286" s="13" t="s">
        <v>79</v>
      </c>
      <c r="D286" s="14" t="s">
        <v>81</v>
      </c>
      <c r="E286" s="15">
        <f>F286+I286</f>
        <v>0</v>
      </c>
      <c r="F286" s="14">
        <v>0</v>
      </c>
      <c r="G286" s="14">
        <v>0</v>
      </c>
      <c r="H286" s="14">
        <v>0</v>
      </c>
      <c r="I286" s="14">
        <v>0</v>
      </c>
      <c r="J286" s="15">
        <f>K286+N286</f>
        <v>5000</v>
      </c>
      <c r="K286" s="14">
        <v>5000</v>
      </c>
      <c r="L286" s="14">
        <v>0</v>
      </c>
      <c r="M286" s="14">
        <v>0</v>
      </c>
      <c r="N286" s="14">
        <v>0</v>
      </c>
      <c r="O286" s="14">
        <v>0</v>
      </c>
      <c r="P286" s="15">
        <f t="shared" si="50"/>
        <v>5000</v>
      </c>
    </row>
    <row r="287" spans="1:16" hidden="1">
      <c r="A287" s="7"/>
      <c r="B287" s="6" t="s">
        <v>82</v>
      </c>
      <c r="C287" s="8"/>
      <c r="D287" s="11" t="s">
        <v>83</v>
      </c>
      <c r="E287" s="10">
        <f>E288+E289+E291+E290</f>
        <v>4185910</v>
      </c>
      <c r="F287" s="32">
        <f>F288+F289+F291+F290</f>
        <v>4095910</v>
      </c>
      <c r="G287" s="32">
        <f>G288+G289+G291+G290</f>
        <v>0</v>
      </c>
      <c r="H287" s="32">
        <f>H288+H289+H291+H290</f>
        <v>0</v>
      </c>
      <c r="I287" s="32">
        <f>I288+I289+I291+I290</f>
        <v>0</v>
      </c>
      <c r="J287" s="10">
        <f t="shared" ref="J287:O287" si="61">J288+J289+J291</f>
        <v>1275000</v>
      </c>
      <c r="K287" s="11">
        <f t="shared" si="61"/>
        <v>0</v>
      </c>
      <c r="L287" s="11">
        <f t="shared" si="61"/>
        <v>0</v>
      </c>
      <c r="M287" s="11">
        <f t="shared" si="61"/>
        <v>0</v>
      </c>
      <c r="N287" s="11">
        <f t="shared" si="61"/>
        <v>1275000</v>
      </c>
      <c r="O287" s="11">
        <f t="shared" si="61"/>
        <v>1275000</v>
      </c>
      <c r="P287" s="10">
        <f t="shared" si="50"/>
        <v>5460910</v>
      </c>
    </row>
    <row r="288" spans="1:16" hidden="1">
      <c r="A288" s="29"/>
      <c r="B288" s="12" t="s">
        <v>85</v>
      </c>
      <c r="C288" s="13" t="s">
        <v>84</v>
      </c>
      <c r="D288" s="14" t="s">
        <v>86</v>
      </c>
      <c r="E288" s="15">
        <v>90000</v>
      </c>
      <c r="F288" s="14">
        <v>0</v>
      </c>
      <c r="G288" s="14">
        <v>0</v>
      </c>
      <c r="H288" s="14">
        <v>0</v>
      </c>
      <c r="I288" s="14">
        <v>0</v>
      </c>
      <c r="J288" s="15">
        <f>K288+N288</f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f t="shared" si="50"/>
        <v>90000</v>
      </c>
    </row>
    <row r="289" spans="1:16" ht="38.25" hidden="1">
      <c r="A289" s="29"/>
      <c r="B289" s="12">
        <v>8370</v>
      </c>
      <c r="C289" s="13" t="s">
        <v>114</v>
      </c>
      <c r="D289" s="14" t="s">
        <v>115</v>
      </c>
      <c r="E289" s="15">
        <f>F289+I289</f>
        <v>550000</v>
      </c>
      <c r="F289" s="14">
        <f>450000+100000</f>
        <v>550000</v>
      </c>
      <c r="G289" s="14">
        <v>0</v>
      </c>
      <c r="H289" s="14">
        <v>0</v>
      </c>
      <c r="I289" s="14">
        <v>0</v>
      </c>
      <c r="J289" s="15">
        <f>K289+N289</f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f t="shared" si="50"/>
        <v>550000</v>
      </c>
    </row>
    <row r="290" spans="1:16" hidden="1">
      <c r="A290" s="29"/>
      <c r="B290" s="12">
        <v>8600</v>
      </c>
      <c r="C290" s="13" t="s">
        <v>84</v>
      </c>
      <c r="D290" s="14" t="s">
        <v>119</v>
      </c>
      <c r="E290" s="15">
        <f>F290+I290</f>
        <v>90000</v>
      </c>
      <c r="F290" s="14">
        <v>90000</v>
      </c>
      <c r="G290" s="14">
        <v>0</v>
      </c>
      <c r="H290" s="14">
        <v>0</v>
      </c>
      <c r="I290" s="14">
        <v>0</v>
      </c>
      <c r="J290" s="15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f t="shared" si="50"/>
        <v>90000</v>
      </c>
    </row>
    <row r="291" spans="1:16" hidden="1">
      <c r="A291" s="29"/>
      <c r="B291" s="12">
        <v>8800</v>
      </c>
      <c r="C291" s="13" t="s">
        <v>114</v>
      </c>
      <c r="D291" s="14" t="s">
        <v>116</v>
      </c>
      <c r="E291" s="15">
        <f>F291+I291</f>
        <v>3455910</v>
      </c>
      <c r="F291" s="14">
        <f>3275910+180000</f>
        <v>3455910</v>
      </c>
      <c r="G291" s="14">
        <v>0</v>
      </c>
      <c r="H291" s="14">
        <v>0</v>
      </c>
      <c r="I291" s="14">
        <v>0</v>
      </c>
      <c r="J291" s="15">
        <f>K291+N291</f>
        <v>1275000</v>
      </c>
      <c r="K291" s="14">
        <v>0</v>
      </c>
      <c r="L291" s="14">
        <v>0</v>
      </c>
      <c r="M291" s="14">
        <v>0</v>
      </c>
      <c r="N291" s="14">
        <f>1080000+195000</f>
        <v>1275000</v>
      </c>
      <c r="O291" s="14">
        <f>1080000+195000</f>
        <v>1275000</v>
      </c>
      <c r="P291" s="15">
        <f t="shared" si="50"/>
        <v>4730910</v>
      </c>
    </row>
    <row r="292" spans="1:16" hidden="1">
      <c r="A292" s="7"/>
      <c r="B292" s="6" t="s">
        <v>87</v>
      </c>
      <c r="C292" s="8"/>
      <c r="D292" s="11" t="s">
        <v>88</v>
      </c>
      <c r="E292" s="10">
        <f t="shared" ref="E292:O292" si="62">E293+E296</f>
        <v>0</v>
      </c>
      <c r="F292" s="11">
        <f t="shared" si="62"/>
        <v>0</v>
      </c>
      <c r="G292" s="11">
        <f t="shared" si="62"/>
        <v>0</v>
      </c>
      <c r="H292" s="11">
        <f t="shared" si="62"/>
        <v>0</v>
      </c>
      <c r="I292" s="11">
        <f t="shared" si="62"/>
        <v>0</v>
      </c>
      <c r="J292" s="10">
        <f t="shared" si="62"/>
        <v>5293000</v>
      </c>
      <c r="K292" s="11">
        <f t="shared" si="62"/>
        <v>1093000</v>
      </c>
      <c r="L292" s="11">
        <f t="shared" si="62"/>
        <v>0</v>
      </c>
      <c r="M292" s="11">
        <f t="shared" si="62"/>
        <v>0</v>
      </c>
      <c r="N292" s="11">
        <f t="shared" si="62"/>
        <v>4200000</v>
      </c>
      <c r="O292" s="11">
        <f t="shared" si="62"/>
        <v>0</v>
      </c>
      <c r="P292" s="10">
        <f t="shared" si="50"/>
        <v>5293000</v>
      </c>
    </row>
    <row r="293" spans="1:16" ht="25.5" hidden="1">
      <c r="A293" s="29"/>
      <c r="B293" s="12" t="s">
        <v>89</v>
      </c>
      <c r="C293" s="13" t="s">
        <v>79</v>
      </c>
      <c r="D293" s="14" t="s">
        <v>90</v>
      </c>
      <c r="E293" s="15">
        <v>0</v>
      </c>
      <c r="F293" s="14">
        <v>0</v>
      </c>
      <c r="G293" s="14">
        <v>0</v>
      </c>
      <c r="H293" s="14">
        <v>0</v>
      </c>
      <c r="I293" s="14">
        <v>0</v>
      </c>
      <c r="J293" s="15">
        <f>K293+N293</f>
        <v>3493000</v>
      </c>
      <c r="K293" s="14">
        <f>513000+300000+280000</f>
        <v>1093000</v>
      </c>
      <c r="L293" s="14">
        <v>0</v>
      </c>
      <c r="M293" s="14">
        <v>0</v>
      </c>
      <c r="N293" s="14">
        <f>1500000+500000+200000+200000</f>
        <v>2400000</v>
      </c>
      <c r="O293" s="14">
        <v>0</v>
      </c>
      <c r="P293" s="15">
        <f t="shared" si="50"/>
        <v>3493000</v>
      </c>
    </row>
    <row r="294" spans="1:16" hidden="1">
      <c r="A294" s="31"/>
      <c r="B294" s="12"/>
      <c r="C294" s="13"/>
      <c r="D294" s="11" t="s">
        <v>111</v>
      </c>
      <c r="E294" s="15">
        <v>0</v>
      </c>
      <c r="F294" s="14">
        <v>0</v>
      </c>
      <c r="G294" s="14">
        <v>0</v>
      </c>
      <c r="H294" s="14">
        <v>0</v>
      </c>
      <c r="I294" s="14">
        <v>0</v>
      </c>
      <c r="J294" s="15">
        <v>200000</v>
      </c>
      <c r="K294" s="14">
        <v>0</v>
      </c>
      <c r="L294" s="14">
        <v>0</v>
      </c>
      <c r="M294" s="14">
        <v>0</v>
      </c>
      <c r="N294" s="14">
        <v>200000</v>
      </c>
      <c r="O294" s="14">
        <v>0</v>
      </c>
      <c r="P294" s="15">
        <v>200000</v>
      </c>
    </row>
    <row r="295" spans="1:16" hidden="1">
      <c r="A295" s="29"/>
      <c r="B295" s="12"/>
      <c r="C295" s="13"/>
      <c r="D295" s="11" t="s">
        <v>109</v>
      </c>
      <c r="E295" s="15">
        <v>0</v>
      </c>
      <c r="F295" s="14">
        <v>0</v>
      </c>
      <c r="G295" s="14">
        <v>0</v>
      </c>
      <c r="H295" s="14">
        <v>0</v>
      </c>
      <c r="I295" s="14">
        <v>0</v>
      </c>
      <c r="J295" s="15">
        <v>2200000</v>
      </c>
      <c r="K295" s="14">
        <v>0</v>
      </c>
      <c r="L295" s="14">
        <v>0</v>
      </c>
      <c r="M295" s="14">
        <v>0</v>
      </c>
      <c r="N295" s="14">
        <v>2200000</v>
      </c>
      <c r="O295" s="14">
        <v>0</v>
      </c>
      <c r="P295" s="15">
        <v>2200000</v>
      </c>
    </row>
    <row r="296" spans="1:16" ht="51" hidden="1">
      <c r="A296" s="29"/>
      <c r="B296" s="12" t="s">
        <v>91</v>
      </c>
      <c r="C296" s="13" t="s">
        <v>84</v>
      </c>
      <c r="D296" s="14" t="s">
        <v>92</v>
      </c>
      <c r="E296" s="15">
        <v>0</v>
      </c>
      <c r="F296" s="14">
        <v>0</v>
      </c>
      <c r="G296" s="14">
        <v>0</v>
      </c>
      <c r="H296" s="14">
        <v>0</v>
      </c>
      <c r="I296" s="14">
        <v>0</v>
      </c>
      <c r="J296" s="15">
        <f>K296+N296</f>
        <v>1800000</v>
      </c>
      <c r="K296" s="14">
        <v>0</v>
      </c>
      <c r="L296" s="14">
        <v>0</v>
      </c>
      <c r="M296" s="14">
        <v>0</v>
      </c>
      <c r="N296" s="14">
        <f>1500000+1000000-700000</f>
        <v>1800000</v>
      </c>
      <c r="O296" s="14">
        <v>0</v>
      </c>
      <c r="P296" s="15">
        <f t="shared" ref="P296:P299" si="63">E296+J296</f>
        <v>1800000</v>
      </c>
    </row>
    <row r="297" spans="1:16" ht="25.5" hidden="1">
      <c r="A297" s="7" t="s">
        <v>103</v>
      </c>
      <c r="B297" s="12"/>
      <c r="C297" s="13"/>
      <c r="D297" s="11" t="s">
        <v>104</v>
      </c>
      <c r="E297" s="15">
        <f t="shared" ref="E297:O297" si="64">E298</f>
        <v>5181425</v>
      </c>
      <c r="F297" s="15">
        <f t="shared" si="64"/>
        <v>5181425</v>
      </c>
      <c r="G297" s="15">
        <f t="shared" si="64"/>
        <v>2907964</v>
      </c>
      <c r="H297" s="15">
        <f t="shared" si="64"/>
        <v>719697</v>
      </c>
      <c r="I297" s="15">
        <f t="shared" si="64"/>
        <v>0</v>
      </c>
      <c r="J297" s="15">
        <f t="shared" si="64"/>
        <v>1000692</v>
      </c>
      <c r="K297" s="15">
        <f t="shared" si="64"/>
        <v>185692</v>
      </c>
      <c r="L297" s="15">
        <f t="shared" si="64"/>
        <v>0</v>
      </c>
      <c r="M297" s="15">
        <f t="shared" si="64"/>
        <v>0</v>
      </c>
      <c r="N297" s="15">
        <f t="shared" si="64"/>
        <v>815000</v>
      </c>
      <c r="O297" s="15">
        <f t="shared" si="64"/>
        <v>815000</v>
      </c>
      <c r="P297" s="15">
        <f t="shared" si="63"/>
        <v>6182117</v>
      </c>
    </row>
    <row r="298" spans="1:16" ht="51" hidden="1">
      <c r="A298" s="29"/>
      <c r="B298" s="12">
        <v>1020</v>
      </c>
      <c r="C298" s="13" t="s">
        <v>28</v>
      </c>
      <c r="D298" s="14" t="s">
        <v>30</v>
      </c>
      <c r="E298" s="15">
        <f>F298+I298</f>
        <v>5181425</v>
      </c>
      <c r="F298" s="14">
        <f>4956425+225000</f>
        <v>5181425</v>
      </c>
      <c r="G298" s="14">
        <f>2724259+225000-41295</f>
        <v>2907964</v>
      </c>
      <c r="H298" s="14">
        <v>719697</v>
      </c>
      <c r="I298" s="14">
        <v>0</v>
      </c>
      <c r="J298" s="15">
        <f>K298+N298</f>
        <v>1000692</v>
      </c>
      <c r="K298" s="14">
        <v>185692</v>
      </c>
      <c r="L298" s="14">
        <v>0</v>
      </c>
      <c r="M298" s="14">
        <v>0</v>
      </c>
      <c r="N298" s="14">
        <v>815000</v>
      </c>
      <c r="O298" s="14">
        <v>815000</v>
      </c>
      <c r="P298" s="15">
        <f t="shared" si="63"/>
        <v>6182117</v>
      </c>
    </row>
    <row r="299" spans="1:16" hidden="1">
      <c r="A299" s="16"/>
      <c r="B299" s="17" t="s">
        <v>93</v>
      </c>
      <c r="C299" s="18"/>
      <c r="D299" s="19" t="s">
        <v>10</v>
      </c>
      <c r="E299" s="10">
        <f t="shared" ref="E299:O299" si="65">E252+E297</f>
        <v>32524611</v>
      </c>
      <c r="F299" s="10">
        <f t="shared" si="65"/>
        <v>32022611</v>
      </c>
      <c r="G299" s="10">
        <f t="shared" si="65"/>
        <v>8264570</v>
      </c>
      <c r="H299" s="10">
        <f t="shared" si="65"/>
        <v>3263234</v>
      </c>
      <c r="I299" s="10">
        <f t="shared" si="65"/>
        <v>412000</v>
      </c>
      <c r="J299" s="10">
        <f t="shared" si="65"/>
        <v>25944482</v>
      </c>
      <c r="K299" s="10">
        <f t="shared" si="65"/>
        <v>1323692</v>
      </c>
      <c r="L299" s="10">
        <f t="shared" si="65"/>
        <v>0</v>
      </c>
      <c r="M299" s="10">
        <f t="shared" si="65"/>
        <v>0</v>
      </c>
      <c r="N299" s="10">
        <f t="shared" si="65"/>
        <v>24620790</v>
      </c>
      <c r="O299" s="10">
        <f t="shared" si="65"/>
        <v>19720790</v>
      </c>
      <c r="P299" s="10">
        <f t="shared" si="63"/>
        <v>58469093</v>
      </c>
    </row>
    <row r="300" spans="1:16" hidden="1"/>
    <row r="301" spans="1:16" hidden="1"/>
    <row r="302" spans="1:16" hidden="1">
      <c r="B302" s="2" t="s">
        <v>94</v>
      </c>
      <c r="I302" s="2" t="s">
        <v>95</v>
      </c>
    </row>
    <row r="303" spans="1:16" hidden="1">
      <c r="A303" t="s">
        <v>0</v>
      </c>
      <c r="M303" t="s">
        <v>1</v>
      </c>
    </row>
    <row r="304" spans="1:16" hidden="1">
      <c r="M304" t="s">
        <v>123</v>
      </c>
    </row>
    <row r="305" spans="1:16" hidden="1"/>
    <row r="306" spans="1:16" hidden="1"/>
    <row r="307" spans="1:16" hidden="1">
      <c r="A307" s="92" t="s">
        <v>2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1:16" hidden="1">
      <c r="A308" s="92" t="s">
        <v>3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1:16" hidden="1">
      <c r="P309" s="1" t="s">
        <v>4</v>
      </c>
    </row>
    <row r="310" spans="1:16" hidden="1">
      <c r="A310" s="94" t="s">
        <v>5</v>
      </c>
      <c r="B310" s="94" t="s">
        <v>6</v>
      </c>
      <c r="C310" s="94" t="s">
        <v>7</v>
      </c>
      <c r="D310" s="95" t="s">
        <v>8</v>
      </c>
      <c r="E310" s="95" t="s">
        <v>9</v>
      </c>
      <c r="F310" s="95"/>
      <c r="G310" s="95"/>
      <c r="H310" s="95"/>
      <c r="I310" s="95"/>
      <c r="J310" s="95" t="s">
        <v>16</v>
      </c>
      <c r="K310" s="95"/>
      <c r="L310" s="95"/>
      <c r="M310" s="95"/>
      <c r="N310" s="95"/>
      <c r="O310" s="95"/>
      <c r="P310" s="96" t="s">
        <v>18</v>
      </c>
    </row>
    <row r="311" spans="1:16" hidden="1">
      <c r="A311" s="95"/>
      <c r="B311" s="95"/>
      <c r="C311" s="95"/>
      <c r="D311" s="95"/>
      <c r="E311" s="96" t="s">
        <v>10</v>
      </c>
      <c r="F311" s="95" t="s">
        <v>11</v>
      </c>
      <c r="G311" s="95" t="s">
        <v>12</v>
      </c>
      <c r="H311" s="95"/>
      <c r="I311" s="95" t="s">
        <v>15</v>
      </c>
      <c r="J311" s="96" t="s">
        <v>10</v>
      </c>
      <c r="K311" s="95" t="s">
        <v>11</v>
      </c>
      <c r="L311" s="95" t="s">
        <v>12</v>
      </c>
      <c r="M311" s="95"/>
      <c r="N311" s="95" t="s">
        <v>15</v>
      </c>
      <c r="O311" s="33" t="s">
        <v>12</v>
      </c>
      <c r="P311" s="95"/>
    </row>
    <row r="312" spans="1:16" hidden="1">
      <c r="A312" s="95"/>
      <c r="B312" s="95"/>
      <c r="C312" s="95"/>
      <c r="D312" s="95"/>
      <c r="E312" s="95"/>
      <c r="F312" s="95"/>
      <c r="G312" s="95" t="s">
        <v>13</v>
      </c>
      <c r="H312" s="95" t="s">
        <v>14</v>
      </c>
      <c r="I312" s="95"/>
      <c r="J312" s="95"/>
      <c r="K312" s="95"/>
      <c r="L312" s="95" t="s">
        <v>13</v>
      </c>
      <c r="M312" s="95" t="s">
        <v>14</v>
      </c>
      <c r="N312" s="95"/>
      <c r="O312" s="95" t="s">
        <v>17</v>
      </c>
      <c r="P312" s="95"/>
    </row>
    <row r="313" spans="1:16" hidden="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1:16" hidden="1">
      <c r="A314" s="33">
        <v>1</v>
      </c>
      <c r="B314" s="33">
        <v>2</v>
      </c>
      <c r="C314" s="33">
        <v>3</v>
      </c>
      <c r="D314" s="33">
        <v>4</v>
      </c>
      <c r="E314" s="34">
        <v>5</v>
      </c>
      <c r="F314" s="33">
        <v>6</v>
      </c>
      <c r="G314" s="33">
        <v>7</v>
      </c>
      <c r="H314" s="33">
        <v>8</v>
      </c>
      <c r="I314" s="33">
        <v>9</v>
      </c>
      <c r="J314" s="34">
        <v>10</v>
      </c>
      <c r="K314" s="33">
        <v>11</v>
      </c>
      <c r="L314" s="33">
        <v>12</v>
      </c>
      <c r="M314" s="33">
        <v>13</v>
      </c>
      <c r="N314" s="33">
        <v>14</v>
      </c>
      <c r="O314" s="33">
        <v>15</v>
      </c>
      <c r="P314" s="34">
        <v>16</v>
      </c>
    </row>
    <row r="315" spans="1:16" ht="76.5" hidden="1">
      <c r="A315" s="6" t="s">
        <v>19</v>
      </c>
      <c r="B315" s="7"/>
      <c r="C315" s="8"/>
      <c r="D315" s="9" t="s">
        <v>20</v>
      </c>
      <c r="E315" s="10">
        <f t="shared" ref="E315:O315" si="66">E316+E318+E321+E324+E327+E330+E334+E337+E340+E343+E345+E349+E351+E356</f>
        <v>27343186</v>
      </c>
      <c r="F315" s="10">
        <f t="shared" si="66"/>
        <v>26931186</v>
      </c>
      <c r="G315" s="10">
        <f t="shared" si="66"/>
        <v>5356606</v>
      </c>
      <c r="H315" s="10">
        <f t="shared" si="66"/>
        <v>2543537</v>
      </c>
      <c r="I315" s="10">
        <f t="shared" si="66"/>
        <v>412000</v>
      </c>
      <c r="J315" s="10">
        <f t="shared" si="66"/>
        <v>27861920</v>
      </c>
      <c r="K315" s="10">
        <f t="shared" si="66"/>
        <v>1138000</v>
      </c>
      <c r="L315" s="10">
        <f t="shared" si="66"/>
        <v>0</v>
      </c>
      <c r="M315" s="10">
        <f t="shared" si="66"/>
        <v>0</v>
      </c>
      <c r="N315" s="10">
        <f t="shared" si="66"/>
        <v>26723920</v>
      </c>
      <c r="O315" s="10">
        <f t="shared" si="66"/>
        <v>21823920</v>
      </c>
      <c r="P315" s="10">
        <f t="shared" ref="P315:P357" si="67">E315+J315</f>
        <v>55205106</v>
      </c>
    </row>
    <row r="316" spans="1:16" hidden="1">
      <c r="A316" s="7"/>
      <c r="B316" s="6" t="s">
        <v>21</v>
      </c>
      <c r="C316" s="8"/>
      <c r="D316" s="11" t="s">
        <v>22</v>
      </c>
      <c r="E316" s="10">
        <f t="shared" ref="E316:O316" si="68">E317</f>
        <v>6292818</v>
      </c>
      <c r="F316" s="11">
        <f t="shared" si="68"/>
        <v>6292818</v>
      </c>
      <c r="G316" s="11">
        <f t="shared" si="68"/>
        <v>3245930</v>
      </c>
      <c r="H316" s="11">
        <f t="shared" si="68"/>
        <v>843843</v>
      </c>
      <c r="I316" s="11">
        <f t="shared" si="68"/>
        <v>0</v>
      </c>
      <c r="J316" s="10">
        <f t="shared" si="68"/>
        <v>65000</v>
      </c>
      <c r="K316" s="11">
        <f t="shared" si="68"/>
        <v>35000</v>
      </c>
      <c r="L316" s="11">
        <f t="shared" si="68"/>
        <v>0</v>
      </c>
      <c r="M316" s="11">
        <f t="shared" si="68"/>
        <v>0</v>
      </c>
      <c r="N316" s="11">
        <f t="shared" si="68"/>
        <v>30000</v>
      </c>
      <c r="O316" s="11">
        <f t="shared" si="68"/>
        <v>30000</v>
      </c>
      <c r="P316" s="10">
        <f t="shared" si="67"/>
        <v>6357818</v>
      </c>
    </row>
    <row r="317" spans="1:16" ht="63.75" hidden="1">
      <c r="A317" s="33"/>
      <c r="B317" s="12" t="s">
        <v>24</v>
      </c>
      <c r="C317" s="13" t="s">
        <v>23</v>
      </c>
      <c r="D317" s="14" t="s">
        <v>25</v>
      </c>
      <c r="E317" s="15">
        <f>F317+I317</f>
        <v>6292818</v>
      </c>
      <c r="F317" s="14">
        <f>5623415+160000+150000+103343+256060</f>
        <v>6292818</v>
      </c>
      <c r="G317" s="14">
        <f>3049930+196000</f>
        <v>3245930</v>
      </c>
      <c r="H317" s="14">
        <f>548500+150000+128343+17000</f>
        <v>843843</v>
      </c>
      <c r="I317" s="14">
        <v>0</v>
      </c>
      <c r="J317" s="15">
        <f>K317+N317</f>
        <v>65000</v>
      </c>
      <c r="K317" s="14">
        <v>35000</v>
      </c>
      <c r="L317" s="14">
        <v>0</v>
      </c>
      <c r="M317" s="14">
        <v>0</v>
      </c>
      <c r="N317" s="14">
        <f>50000-20000</f>
        <v>30000</v>
      </c>
      <c r="O317" s="14">
        <f>50000-20000</f>
        <v>30000</v>
      </c>
      <c r="P317" s="15">
        <f t="shared" si="67"/>
        <v>6357818</v>
      </c>
    </row>
    <row r="318" spans="1:16" hidden="1">
      <c r="A318" s="7"/>
      <c r="B318" s="6" t="s">
        <v>26</v>
      </c>
      <c r="C318" s="8"/>
      <c r="D318" s="11" t="s">
        <v>27</v>
      </c>
      <c r="E318" s="10">
        <f t="shared" ref="E318:O318" si="69">E319+E320</f>
        <v>370000</v>
      </c>
      <c r="F318" s="11">
        <f t="shared" si="69"/>
        <v>370000</v>
      </c>
      <c r="G318" s="11">
        <f t="shared" si="69"/>
        <v>0</v>
      </c>
      <c r="H318" s="11">
        <f t="shared" si="69"/>
        <v>0</v>
      </c>
      <c r="I318" s="11">
        <f t="shared" si="69"/>
        <v>0</v>
      </c>
      <c r="J318" s="10">
        <f t="shared" si="69"/>
        <v>435000</v>
      </c>
      <c r="K318" s="11">
        <f t="shared" si="69"/>
        <v>0</v>
      </c>
      <c r="L318" s="11">
        <f t="shared" si="69"/>
        <v>0</v>
      </c>
      <c r="M318" s="11">
        <f t="shared" si="69"/>
        <v>0</v>
      </c>
      <c r="N318" s="11">
        <f t="shared" si="69"/>
        <v>435000</v>
      </c>
      <c r="O318" s="11">
        <f t="shared" si="69"/>
        <v>435000</v>
      </c>
      <c r="P318" s="10">
        <f t="shared" si="67"/>
        <v>805000</v>
      </c>
    </row>
    <row r="319" spans="1:16" ht="51" hidden="1">
      <c r="A319" s="33"/>
      <c r="B319" s="12" t="s">
        <v>29</v>
      </c>
      <c r="C319" s="13" t="s">
        <v>28</v>
      </c>
      <c r="D319" s="14" t="s">
        <v>30</v>
      </c>
      <c r="E319" s="15">
        <f>F319+I319</f>
        <v>0</v>
      </c>
      <c r="F319" s="14">
        <v>0</v>
      </c>
      <c r="G319" s="14"/>
      <c r="H319" s="14"/>
      <c r="I319" s="14">
        <v>0</v>
      </c>
      <c r="J319" s="15">
        <f>K319+N319</f>
        <v>435000</v>
      </c>
      <c r="K319" s="14">
        <v>0</v>
      </c>
      <c r="L319" s="14">
        <v>0</v>
      </c>
      <c r="M319" s="14">
        <v>0</v>
      </c>
      <c r="N319" s="14">
        <f>300000+135000</f>
        <v>435000</v>
      </c>
      <c r="O319" s="14">
        <f>300000+135000</f>
        <v>435000</v>
      </c>
      <c r="P319" s="15">
        <f t="shared" si="67"/>
        <v>435000</v>
      </c>
    </row>
    <row r="320" spans="1:16" hidden="1">
      <c r="A320" s="33"/>
      <c r="B320" s="12" t="s">
        <v>32</v>
      </c>
      <c r="C320" s="13" t="s">
        <v>31</v>
      </c>
      <c r="D320" s="14" t="s">
        <v>33</v>
      </c>
      <c r="E320" s="15">
        <f>F320+I320</f>
        <v>370000</v>
      </c>
      <c r="F320" s="14">
        <f>340000+30000</f>
        <v>370000</v>
      </c>
      <c r="G320" s="14">
        <v>0</v>
      </c>
      <c r="H320" s="14">
        <v>0</v>
      </c>
      <c r="I320" s="14">
        <v>0</v>
      </c>
      <c r="J320" s="15">
        <f>K320+N320</f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5">
        <f t="shared" si="67"/>
        <v>370000</v>
      </c>
    </row>
    <row r="321" spans="1:16" hidden="1">
      <c r="A321" s="7"/>
      <c r="B321" s="6" t="s">
        <v>34</v>
      </c>
      <c r="C321" s="8"/>
      <c r="D321" s="11" t="s">
        <v>35</v>
      </c>
      <c r="E321" s="10">
        <f t="shared" ref="E321:O321" si="70">E322+E323</f>
        <v>1061000</v>
      </c>
      <c r="F321" s="11">
        <f t="shared" si="70"/>
        <v>1061000</v>
      </c>
      <c r="G321" s="11">
        <f t="shared" si="70"/>
        <v>5738</v>
      </c>
      <c r="H321" s="11">
        <f t="shared" si="70"/>
        <v>0</v>
      </c>
      <c r="I321" s="11">
        <f t="shared" si="70"/>
        <v>0</v>
      </c>
      <c r="J321" s="23">
        <f t="shared" si="70"/>
        <v>0</v>
      </c>
      <c r="K321" s="11">
        <f t="shared" si="70"/>
        <v>0</v>
      </c>
      <c r="L321" s="11">
        <f t="shared" si="70"/>
        <v>0</v>
      </c>
      <c r="M321" s="11">
        <f t="shared" si="70"/>
        <v>0</v>
      </c>
      <c r="N321" s="11">
        <f t="shared" si="70"/>
        <v>0</v>
      </c>
      <c r="O321" s="11">
        <f t="shared" si="70"/>
        <v>0</v>
      </c>
      <c r="P321" s="10">
        <f t="shared" si="67"/>
        <v>1061000</v>
      </c>
    </row>
    <row r="322" spans="1:16" hidden="1">
      <c r="A322" s="7"/>
      <c r="B322" s="20">
        <v>3240</v>
      </c>
      <c r="C322" s="13" t="s">
        <v>105</v>
      </c>
      <c r="D322" s="21" t="s">
        <v>106</v>
      </c>
      <c r="E322" s="22">
        <f>F322+I322</f>
        <v>7000</v>
      </c>
      <c r="F322" s="21">
        <v>7000</v>
      </c>
      <c r="G322" s="21">
        <v>5738</v>
      </c>
      <c r="H322" s="21">
        <v>0</v>
      </c>
      <c r="I322" s="21">
        <v>0</v>
      </c>
      <c r="J322" s="22">
        <f>K322+N322</f>
        <v>0</v>
      </c>
      <c r="K322" s="11"/>
      <c r="L322" s="11"/>
      <c r="M322" s="11"/>
      <c r="N322" s="11"/>
      <c r="O322" s="11"/>
      <c r="P322" s="15">
        <f t="shared" si="67"/>
        <v>7000</v>
      </c>
    </row>
    <row r="323" spans="1:16" hidden="1">
      <c r="A323" s="33"/>
      <c r="B323" s="12" t="s">
        <v>37</v>
      </c>
      <c r="C323" s="13" t="s">
        <v>36</v>
      </c>
      <c r="D323" s="14" t="s">
        <v>38</v>
      </c>
      <c r="E323" s="15">
        <f>F323+I323</f>
        <v>1054000</v>
      </c>
      <c r="F323" s="14">
        <f>781000+243000+30000</f>
        <v>1054000</v>
      </c>
      <c r="G323" s="14">
        <v>0</v>
      </c>
      <c r="H323" s="14">
        <v>0</v>
      </c>
      <c r="I323" s="14">
        <v>0</v>
      </c>
      <c r="J323" s="15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5">
        <f t="shared" si="67"/>
        <v>1054000</v>
      </c>
    </row>
    <row r="324" spans="1:16" hidden="1">
      <c r="A324" s="7"/>
      <c r="B324" s="6" t="s">
        <v>39</v>
      </c>
      <c r="C324" s="8"/>
      <c r="D324" s="11" t="s">
        <v>40</v>
      </c>
      <c r="E324" s="10">
        <f t="shared" ref="E324:O324" si="71">E325+E326</f>
        <v>4963341</v>
      </c>
      <c r="F324" s="11">
        <f t="shared" si="71"/>
        <v>4963341</v>
      </c>
      <c r="G324" s="11">
        <f t="shared" si="71"/>
        <v>2104938</v>
      </c>
      <c r="H324" s="11">
        <f t="shared" si="71"/>
        <v>880284</v>
      </c>
      <c r="I324" s="11">
        <f t="shared" si="71"/>
        <v>0</v>
      </c>
      <c r="J324" s="10">
        <f t="shared" si="71"/>
        <v>515000</v>
      </c>
      <c r="K324" s="11">
        <f t="shared" si="71"/>
        <v>5000</v>
      </c>
      <c r="L324" s="11">
        <f t="shared" si="71"/>
        <v>0</v>
      </c>
      <c r="M324" s="11">
        <f t="shared" si="71"/>
        <v>0</v>
      </c>
      <c r="N324" s="11">
        <f t="shared" si="71"/>
        <v>510000</v>
      </c>
      <c r="O324" s="11">
        <f t="shared" si="71"/>
        <v>510000</v>
      </c>
      <c r="P324" s="10">
        <f t="shared" si="67"/>
        <v>5478341</v>
      </c>
    </row>
    <row r="325" spans="1:16" hidden="1">
      <c r="A325" s="33"/>
      <c r="B325" s="12" t="s">
        <v>42</v>
      </c>
      <c r="C325" s="13" t="s">
        <v>41</v>
      </c>
      <c r="D325" s="14" t="s">
        <v>43</v>
      </c>
      <c r="E325" s="15">
        <f>F325+I325</f>
        <v>246486</v>
      </c>
      <c r="F325" s="14">
        <f>244486+2000</f>
        <v>246486</v>
      </c>
      <c r="G325" s="14">
        <v>195480</v>
      </c>
      <c r="H325" s="14">
        <v>0</v>
      </c>
      <c r="I325" s="14">
        <v>0</v>
      </c>
      <c r="J325" s="15">
        <f>K325+N325</f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5">
        <f t="shared" si="67"/>
        <v>246486</v>
      </c>
    </row>
    <row r="326" spans="1:16" ht="25.5" hidden="1">
      <c r="A326" s="33"/>
      <c r="B326" s="12" t="s">
        <v>45</v>
      </c>
      <c r="C326" s="13" t="s">
        <v>44</v>
      </c>
      <c r="D326" s="14" t="s">
        <v>46</v>
      </c>
      <c r="E326" s="15">
        <f>F326+I326</f>
        <v>4716855</v>
      </c>
      <c r="F326" s="14">
        <f>3953075+400000+96780+67000+200000</f>
        <v>4716855</v>
      </c>
      <c r="G326" s="14">
        <f>1879976+29482</f>
        <v>1909458</v>
      </c>
      <c r="H326" s="14">
        <f>770504+108780+1000</f>
        <v>880284</v>
      </c>
      <c r="I326" s="14">
        <v>0</v>
      </c>
      <c r="J326" s="15">
        <f>K326+N326</f>
        <v>515000</v>
      </c>
      <c r="K326" s="14">
        <v>5000</v>
      </c>
      <c r="L326" s="14">
        <v>0</v>
      </c>
      <c r="M326" s="14">
        <v>0</v>
      </c>
      <c r="N326" s="14">
        <f>45000+235000+300000-50000-20000</f>
        <v>510000</v>
      </c>
      <c r="O326" s="14">
        <f>45000+235000+300000-50000-20000</f>
        <v>510000</v>
      </c>
      <c r="P326" s="15">
        <f t="shared" si="67"/>
        <v>5231855</v>
      </c>
    </row>
    <row r="327" spans="1:16" hidden="1">
      <c r="A327" s="7"/>
      <c r="B327" s="6" t="s">
        <v>47</v>
      </c>
      <c r="C327" s="8"/>
      <c r="D327" s="11" t="s">
        <v>48</v>
      </c>
      <c r="E327" s="10">
        <f t="shared" ref="E327:O327" si="72">E328</f>
        <v>2858300</v>
      </c>
      <c r="F327" s="11">
        <f t="shared" si="72"/>
        <v>2858300</v>
      </c>
      <c r="G327" s="11">
        <f t="shared" si="72"/>
        <v>0</v>
      </c>
      <c r="H327" s="11">
        <f t="shared" si="72"/>
        <v>0</v>
      </c>
      <c r="I327" s="11">
        <f t="shared" si="72"/>
        <v>0</v>
      </c>
      <c r="J327" s="10">
        <f t="shared" si="72"/>
        <v>893700</v>
      </c>
      <c r="K327" s="11">
        <f t="shared" si="72"/>
        <v>0</v>
      </c>
      <c r="L327" s="11">
        <f t="shared" si="72"/>
        <v>0</v>
      </c>
      <c r="M327" s="11">
        <f t="shared" si="72"/>
        <v>0</v>
      </c>
      <c r="N327" s="11">
        <f t="shared" si="72"/>
        <v>893700</v>
      </c>
      <c r="O327" s="11">
        <f t="shared" si="72"/>
        <v>893700</v>
      </c>
      <c r="P327" s="10">
        <f t="shared" si="67"/>
        <v>3752000</v>
      </c>
    </row>
    <row r="328" spans="1:16" ht="38.25" hidden="1">
      <c r="A328" s="33"/>
      <c r="B328" s="12">
        <v>5032</v>
      </c>
      <c r="C328" s="13" t="s">
        <v>49</v>
      </c>
      <c r="D328" s="14" t="s">
        <v>51</v>
      </c>
      <c r="E328" s="15">
        <f>F328+I328</f>
        <v>2858300</v>
      </c>
      <c r="F328" s="14">
        <f>2578300+280000</f>
        <v>2858300</v>
      </c>
      <c r="G328" s="14">
        <v>0</v>
      </c>
      <c r="H328" s="14">
        <v>0</v>
      </c>
      <c r="I328" s="14">
        <v>0</v>
      </c>
      <c r="J328" s="15">
        <f>K328+N328</f>
        <v>893700</v>
      </c>
      <c r="K328" s="14">
        <v>0</v>
      </c>
      <c r="L328" s="14">
        <v>0</v>
      </c>
      <c r="M328" s="14">
        <v>0</v>
      </c>
      <c r="N328" s="14">
        <f>873700+300000-280000</f>
        <v>893700</v>
      </c>
      <c r="O328" s="14">
        <f>873700+300000-280000</f>
        <v>893700</v>
      </c>
      <c r="P328" s="15">
        <f t="shared" si="67"/>
        <v>3752000</v>
      </c>
    </row>
    <row r="329" spans="1:16" hidden="1">
      <c r="A329" s="33"/>
      <c r="B329" s="12"/>
      <c r="C329" s="13"/>
      <c r="D329" s="11" t="s">
        <v>107</v>
      </c>
      <c r="E329" s="15">
        <f>F329+I329</f>
        <v>2578300</v>
      </c>
      <c r="F329" s="14">
        <v>2578300</v>
      </c>
      <c r="G329" s="14">
        <v>0</v>
      </c>
      <c r="H329" s="14">
        <v>0</v>
      </c>
      <c r="I329" s="14">
        <v>0</v>
      </c>
      <c r="J329" s="15">
        <f>K329+N329</f>
        <v>1173700</v>
      </c>
      <c r="K329" s="14">
        <v>0</v>
      </c>
      <c r="L329" s="14">
        <v>0</v>
      </c>
      <c r="M329" s="14">
        <v>0</v>
      </c>
      <c r="N329" s="14">
        <f>873700+300000</f>
        <v>1173700</v>
      </c>
      <c r="O329" s="14">
        <f>873700+300000</f>
        <v>1173700</v>
      </c>
      <c r="P329" s="15">
        <f t="shared" si="67"/>
        <v>3752000</v>
      </c>
    </row>
    <row r="330" spans="1:16" hidden="1">
      <c r="A330" s="7"/>
      <c r="B330" s="6" t="s">
        <v>52</v>
      </c>
      <c r="C330" s="8"/>
      <c r="D330" s="11" t="s">
        <v>53</v>
      </c>
      <c r="E330" s="10">
        <f t="shared" ref="E330:O330" si="73">E331+E333</f>
        <v>6025817</v>
      </c>
      <c r="F330" s="11">
        <f t="shared" si="73"/>
        <v>5943817</v>
      </c>
      <c r="G330" s="11">
        <f t="shared" si="73"/>
        <v>0</v>
      </c>
      <c r="H330" s="11">
        <f t="shared" si="73"/>
        <v>819410</v>
      </c>
      <c r="I330" s="11">
        <f t="shared" si="73"/>
        <v>82000</v>
      </c>
      <c r="J330" s="10">
        <f t="shared" si="73"/>
        <v>5190000</v>
      </c>
      <c r="K330" s="11">
        <f t="shared" si="73"/>
        <v>0</v>
      </c>
      <c r="L330" s="11">
        <f t="shared" si="73"/>
        <v>0</v>
      </c>
      <c r="M330" s="11">
        <f t="shared" si="73"/>
        <v>0</v>
      </c>
      <c r="N330" s="11">
        <f t="shared" si="73"/>
        <v>5190000</v>
      </c>
      <c r="O330" s="11">
        <f t="shared" si="73"/>
        <v>5190000</v>
      </c>
      <c r="P330" s="10">
        <f t="shared" si="67"/>
        <v>11215817</v>
      </c>
    </row>
    <row r="331" spans="1:16" ht="25.5" hidden="1">
      <c r="A331" s="7"/>
      <c r="B331" s="20">
        <v>6052</v>
      </c>
      <c r="C331" s="13" t="s">
        <v>54</v>
      </c>
      <c r="D331" s="21" t="s">
        <v>108</v>
      </c>
      <c r="E331" s="10">
        <f>F331+I331</f>
        <v>142000</v>
      </c>
      <c r="F331" s="21">
        <v>60000</v>
      </c>
      <c r="G331" s="21">
        <v>0</v>
      </c>
      <c r="H331" s="21">
        <v>0</v>
      </c>
      <c r="I331" s="21">
        <f>442000-360000</f>
        <v>82000</v>
      </c>
      <c r="J331" s="10">
        <f>K331+N331</f>
        <v>960000</v>
      </c>
      <c r="K331" s="21">
        <v>0</v>
      </c>
      <c r="L331" s="21">
        <v>0</v>
      </c>
      <c r="M331" s="21">
        <v>0</v>
      </c>
      <c r="N331" s="21">
        <v>960000</v>
      </c>
      <c r="O331" s="21">
        <v>960000</v>
      </c>
      <c r="P331" s="15">
        <f t="shared" si="67"/>
        <v>1102000</v>
      </c>
    </row>
    <row r="332" spans="1:16" hidden="1">
      <c r="A332" s="7"/>
      <c r="B332" s="20"/>
      <c r="C332" s="13"/>
      <c r="D332" s="11" t="s">
        <v>109</v>
      </c>
      <c r="E332" s="10">
        <f>F332+I332</f>
        <v>82000</v>
      </c>
      <c r="F332" s="21">
        <v>0</v>
      </c>
      <c r="G332" s="21">
        <v>0</v>
      </c>
      <c r="H332" s="21">
        <v>0</v>
      </c>
      <c r="I332" s="21">
        <f>442000-360000</f>
        <v>82000</v>
      </c>
      <c r="J332" s="10">
        <f>K332+N332</f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15">
        <f t="shared" si="67"/>
        <v>82000</v>
      </c>
    </row>
    <row r="333" spans="1:16" hidden="1">
      <c r="A333" s="33"/>
      <c r="B333" s="12" t="s">
        <v>55</v>
      </c>
      <c r="C333" s="13" t="s">
        <v>54</v>
      </c>
      <c r="D333" s="14" t="s">
        <v>56</v>
      </c>
      <c r="E333" s="15">
        <f>F333+I333</f>
        <v>5883817</v>
      </c>
      <c r="F333" s="14">
        <f>5429000+150000+200000-196123+250940+50000</f>
        <v>5883817</v>
      </c>
      <c r="G333" s="14">
        <v>0</v>
      </c>
      <c r="H333" s="14">
        <f>575000+150000+94410</f>
        <v>819410</v>
      </c>
      <c r="I333" s="14">
        <v>0</v>
      </c>
      <c r="J333" s="15">
        <f>K333+N333</f>
        <v>4230000</v>
      </c>
      <c r="K333" s="14">
        <v>0</v>
      </c>
      <c r="L333" s="14">
        <v>0</v>
      </c>
      <c r="M333" s="14">
        <v>0</v>
      </c>
      <c r="N333" s="14">
        <f>200000+2880000+50000+1100000</f>
        <v>4230000</v>
      </c>
      <c r="O333" s="14">
        <f>200000+2880000+50000+1100000</f>
        <v>4230000</v>
      </c>
      <c r="P333" s="15">
        <f t="shared" si="67"/>
        <v>10113817</v>
      </c>
    </row>
    <row r="334" spans="1:16" hidden="1">
      <c r="A334" s="7"/>
      <c r="B334" s="6" t="s">
        <v>57</v>
      </c>
      <c r="C334" s="8"/>
      <c r="D334" s="11" t="s">
        <v>58</v>
      </c>
      <c r="E334" s="10">
        <f>E335</f>
        <v>0</v>
      </c>
      <c r="F334" s="11">
        <f>F335</f>
        <v>0</v>
      </c>
      <c r="G334" s="11">
        <f>G335</f>
        <v>0</v>
      </c>
      <c r="H334" s="11">
        <f>H335</f>
        <v>0</v>
      </c>
      <c r="I334" s="11">
        <f>I335</f>
        <v>0</v>
      </c>
      <c r="J334" s="10">
        <f t="shared" ref="J334:O334" si="74">J335+J336</f>
        <v>7718130</v>
      </c>
      <c r="K334" s="32">
        <f t="shared" si="74"/>
        <v>0</v>
      </c>
      <c r="L334" s="32">
        <f t="shared" si="74"/>
        <v>0</v>
      </c>
      <c r="M334" s="32">
        <f t="shared" si="74"/>
        <v>0</v>
      </c>
      <c r="N334" s="32">
        <f t="shared" si="74"/>
        <v>7718130</v>
      </c>
      <c r="O334" s="32">
        <f t="shared" si="74"/>
        <v>7718130</v>
      </c>
      <c r="P334" s="10">
        <f t="shared" si="67"/>
        <v>7718130</v>
      </c>
    </row>
    <row r="335" spans="1:16" ht="25.5" hidden="1">
      <c r="A335" s="33"/>
      <c r="B335" s="12" t="s">
        <v>60</v>
      </c>
      <c r="C335" s="13" t="s">
        <v>59</v>
      </c>
      <c r="D335" s="14" t="s">
        <v>61</v>
      </c>
      <c r="E335" s="15">
        <f>F335+I335</f>
        <v>0</v>
      </c>
      <c r="F335" s="14">
        <v>0</v>
      </c>
      <c r="G335" s="14">
        <v>0</v>
      </c>
      <c r="H335" s="14">
        <v>0</v>
      </c>
      <c r="I335" s="14">
        <v>0</v>
      </c>
      <c r="J335" s="15">
        <f>K335+N335</f>
        <v>4800000</v>
      </c>
      <c r="K335" s="14">
        <v>0</v>
      </c>
      <c r="L335" s="14">
        <v>0</v>
      </c>
      <c r="M335" s="14">
        <v>0</v>
      </c>
      <c r="N335" s="14">
        <f>2000000+2800000</f>
        <v>4800000</v>
      </c>
      <c r="O335" s="14">
        <f>2000000+2800000</f>
        <v>4800000</v>
      </c>
      <c r="P335" s="15">
        <f t="shared" si="67"/>
        <v>4800000</v>
      </c>
    </row>
    <row r="336" spans="1:16" ht="38.25" hidden="1">
      <c r="A336" s="33"/>
      <c r="B336" s="12">
        <v>6370</v>
      </c>
      <c r="C336" s="13" t="s">
        <v>121</v>
      </c>
      <c r="D336" s="14" t="s">
        <v>122</v>
      </c>
      <c r="E336" s="15">
        <v>0</v>
      </c>
      <c r="F336" s="14">
        <v>0</v>
      </c>
      <c r="G336" s="14">
        <v>0</v>
      </c>
      <c r="H336" s="14">
        <v>0</v>
      </c>
      <c r="I336" s="14">
        <v>0</v>
      </c>
      <c r="J336" s="15">
        <f>K336+N336</f>
        <v>2918130</v>
      </c>
      <c r="K336" s="14">
        <v>0</v>
      </c>
      <c r="L336" s="14">
        <v>0</v>
      </c>
      <c r="M336" s="14">
        <v>0</v>
      </c>
      <c r="N336" s="14">
        <v>2918130</v>
      </c>
      <c r="O336" s="14">
        <v>2918130</v>
      </c>
      <c r="P336" s="15">
        <f t="shared" si="67"/>
        <v>2918130</v>
      </c>
    </row>
    <row r="337" spans="1:16" ht="25.5" hidden="1">
      <c r="A337" s="7"/>
      <c r="B337" s="6" t="s">
        <v>62</v>
      </c>
      <c r="C337" s="8"/>
      <c r="D337" s="11" t="s">
        <v>63</v>
      </c>
      <c r="E337" s="10">
        <f t="shared" ref="E337:O337" si="75">E338</f>
        <v>1290000</v>
      </c>
      <c r="F337" s="11">
        <f t="shared" si="75"/>
        <v>990000</v>
      </c>
      <c r="G337" s="11">
        <f t="shared" si="75"/>
        <v>0</v>
      </c>
      <c r="H337" s="11">
        <f t="shared" si="75"/>
        <v>0</v>
      </c>
      <c r="I337" s="11">
        <f t="shared" si="75"/>
        <v>300000</v>
      </c>
      <c r="J337" s="10">
        <f t="shared" si="75"/>
        <v>2177090</v>
      </c>
      <c r="K337" s="11">
        <f t="shared" si="75"/>
        <v>0</v>
      </c>
      <c r="L337" s="11">
        <f t="shared" si="75"/>
        <v>0</v>
      </c>
      <c r="M337" s="11">
        <f t="shared" si="75"/>
        <v>0</v>
      </c>
      <c r="N337" s="11">
        <f t="shared" si="75"/>
        <v>2177090</v>
      </c>
      <c r="O337" s="11">
        <f t="shared" si="75"/>
        <v>2177090</v>
      </c>
      <c r="P337" s="10">
        <f t="shared" si="67"/>
        <v>3467090</v>
      </c>
    </row>
    <row r="338" spans="1:16" hidden="1">
      <c r="A338" s="33"/>
      <c r="B338" s="12" t="s">
        <v>65</v>
      </c>
      <c r="C338" s="13" t="s">
        <v>64</v>
      </c>
      <c r="D338" s="14" t="s">
        <v>66</v>
      </c>
      <c r="E338" s="15">
        <f>F338+I338</f>
        <v>1290000</v>
      </c>
      <c r="F338" s="14">
        <f>300000+150000-50000+590000</f>
        <v>990000</v>
      </c>
      <c r="G338" s="14">
        <v>0</v>
      </c>
      <c r="H338" s="14">
        <v>0</v>
      </c>
      <c r="I338" s="14">
        <f>100000+150000+50000</f>
        <v>300000</v>
      </c>
      <c r="J338" s="15">
        <f>K338+N338</f>
        <v>2177090</v>
      </c>
      <c r="K338" s="14">
        <v>0</v>
      </c>
      <c r="L338" s="14">
        <v>0</v>
      </c>
      <c r="M338" s="14">
        <v>0</v>
      </c>
      <c r="N338" s="14">
        <f>1000000+1177090</f>
        <v>2177090</v>
      </c>
      <c r="O338" s="14">
        <f>1000000+1177090</f>
        <v>2177090</v>
      </c>
      <c r="P338" s="15">
        <f t="shared" si="67"/>
        <v>3467090</v>
      </c>
    </row>
    <row r="339" spans="1:16" hidden="1">
      <c r="A339" s="33"/>
      <c r="B339" s="12"/>
      <c r="C339" s="13"/>
      <c r="D339" s="11" t="s">
        <v>110</v>
      </c>
      <c r="E339" s="15">
        <f>F339+I339</f>
        <v>300000</v>
      </c>
      <c r="F339" s="14">
        <v>0</v>
      </c>
      <c r="G339" s="14">
        <v>0</v>
      </c>
      <c r="H339" s="14">
        <v>0</v>
      </c>
      <c r="I339" s="14">
        <f>100000+150000+50000</f>
        <v>300000</v>
      </c>
      <c r="J339" s="15">
        <f>K339+N339</f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f t="shared" si="67"/>
        <v>300000</v>
      </c>
    </row>
    <row r="340" spans="1:16" hidden="1">
      <c r="A340" s="7"/>
      <c r="B340" s="6" t="s">
        <v>67</v>
      </c>
      <c r="C340" s="8"/>
      <c r="D340" s="11" t="s">
        <v>68</v>
      </c>
      <c r="E340" s="10">
        <f t="shared" ref="E340:O340" si="76">E341</f>
        <v>200000</v>
      </c>
      <c r="F340" s="11">
        <f t="shared" si="76"/>
        <v>200000</v>
      </c>
      <c r="G340" s="11">
        <f t="shared" si="76"/>
        <v>0</v>
      </c>
      <c r="H340" s="11">
        <f t="shared" si="76"/>
        <v>0</v>
      </c>
      <c r="I340" s="11">
        <f t="shared" si="76"/>
        <v>0</v>
      </c>
      <c r="J340" s="10">
        <f t="shared" si="76"/>
        <v>0</v>
      </c>
      <c r="K340" s="11">
        <f t="shared" si="76"/>
        <v>0</v>
      </c>
      <c r="L340" s="11">
        <f t="shared" si="76"/>
        <v>0</v>
      </c>
      <c r="M340" s="11">
        <f t="shared" si="76"/>
        <v>0</v>
      </c>
      <c r="N340" s="11">
        <f t="shared" si="76"/>
        <v>0</v>
      </c>
      <c r="O340" s="11">
        <f t="shared" si="76"/>
        <v>0</v>
      </c>
      <c r="P340" s="10">
        <f t="shared" si="67"/>
        <v>200000</v>
      </c>
    </row>
    <row r="341" spans="1:16" ht="25.5" hidden="1">
      <c r="A341" s="33"/>
      <c r="B341" s="12" t="s">
        <v>70</v>
      </c>
      <c r="C341" s="13" t="s">
        <v>69</v>
      </c>
      <c r="D341" s="14" t="s">
        <v>71</v>
      </c>
      <c r="E341" s="15">
        <f>F341+I341</f>
        <v>200000</v>
      </c>
      <c r="F341" s="14">
        <v>200000</v>
      </c>
      <c r="G341" s="14">
        <v>0</v>
      </c>
      <c r="H341" s="14">
        <v>0</v>
      </c>
      <c r="I341" s="14">
        <v>0</v>
      </c>
      <c r="J341" s="15">
        <f>K341+N341</f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f t="shared" si="67"/>
        <v>200000</v>
      </c>
    </row>
    <row r="342" spans="1:16" hidden="1">
      <c r="A342" s="33"/>
      <c r="B342" s="12"/>
      <c r="C342" s="13"/>
      <c r="D342" s="11" t="s">
        <v>111</v>
      </c>
      <c r="E342" s="15">
        <f>F342+I342</f>
        <v>200000</v>
      </c>
      <c r="F342" s="14">
        <v>200000</v>
      </c>
      <c r="G342" s="14">
        <v>0</v>
      </c>
      <c r="H342" s="14">
        <v>0</v>
      </c>
      <c r="I342" s="14">
        <v>0</v>
      </c>
      <c r="J342" s="15">
        <f>K342+N342</f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f t="shared" si="67"/>
        <v>200000</v>
      </c>
    </row>
    <row r="343" spans="1:16" ht="25.5" hidden="1">
      <c r="A343" s="7"/>
      <c r="B343" s="6" t="s">
        <v>72</v>
      </c>
      <c r="C343" s="8"/>
      <c r="D343" s="11" t="s">
        <v>73</v>
      </c>
      <c r="E343" s="10">
        <f t="shared" ref="E343:O343" si="77">E344</f>
        <v>186000</v>
      </c>
      <c r="F343" s="11">
        <f t="shared" si="77"/>
        <v>156000</v>
      </c>
      <c r="G343" s="11">
        <f t="shared" si="77"/>
        <v>0</v>
      </c>
      <c r="H343" s="11">
        <f t="shared" si="77"/>
        <v>0</v>
      </c>
      <c r="I343" s="11">
        <f t="shared" si="77"/>
        <v>30000</v>
      </c>
      <c r="J343" s="10">
        <f t="shared" si="77"/>
        <v>500000</v>
      </c>
      <c r="K343" s="11">
        <f t="shared" si="77"/>
        <v>0</v>
      </c>
      <c r="L343" s="11">
        <f t="shared" si="77"/>
        <v>0</v>
      </c>
      <c r="M343" s="11">
        <f t="shared" si="77"/>
        <v>0</v>
      </c>
      <c r="N343" s="11">
        <f t="shared" si="77"/>
        <v>500000</v>
      </c>
      <c r="O343" s="11">
        <f t="shared" si="77"/>
        <v>500000</v>
      </c>
      <c r="P343" s="10">
        <f t="shared" si="67"/>
        <v>686000</v>
      </c>
    </row>
    <row r="344" spans="1:16" hidden="1">
      <c r="A344" s="33"/>
      <c r="B344" s="12" t="s">
        <v>75</v>
      </c>
      <c r="C344" s="13" t="s">
        <v>74</v>
      </c>
      <c r="D344" s="14" t="s">
        <v>76</v>
      </c>
      <c r="E344" s="15">
        <f>F344+I344</f>
        <v>186000</v>
      </c>
      <c r="F344" s="14">
        <f>100000-4000-30000+90000</f>
        <v>156000</v>
      </c>
      <c r="G344" s="14">
        <v>0</v>
      </c>
      <c r="H344" s="14">
        <v>0</v>
      </c>
      <c r="I344" s="14">
        <v>30000</v>
      </c>
      <c r="J344" s="15">
        <f>K344+N344</f>
        <v>500000</v>
      </c>
      <c r="K344" s="14">
        <v>0</v>
      </c>
      <c r="L344" s="14">
        <v>0</v>
      </c>
      <c r="M344" s="14">
        <v>0</v>
      </c>
      <c r="N344" s="14">
        <v>500000</v>
      </c>
      <c r="O344" s="14">
        <v>500000</v>
      </c>
      <c r="P344" s="15">
        <f t="shared" si="67"/>
        <v>686000</v>
      </c>
    </row>
    <row r="345" spans="1:16" ht="25.5" hidden="1">
      <c r="A345" s="33"/>
      <c r="B345" s="6">
        <v>7400</v>
      </c>
      <c r="C345" s="13"/>
      <c r="D345" s="11" t="s">
        <v>112</v>
      </c>
      <c r="E345" s="10">
        <f t="shared" ref="E345:O345" si="78">E346</f>
        <v>0</v>
      </c>
      <c r="F345" s="11">
        <f t="shared" si="78"/>
        <v>0</v>
      </c>
      <c r="G345" s="11">
        <f t="shared" si="78"/>
        <v>0</v>
      </c>
      <c r="H345" s="11">
        <f t="shared" si="78"/>
        <v>0</v>
      </c>
      <c r="I345" s="11">
        <f t="shared" si="78"/>
        <v>0</v>
      </c>
      <c r="J345" s="10">
        <f t="shared" si="78"/>
        <v>4990000</v>
      </c>
      <c r="K345" s="11">
        <f t="shared" si="78"/>
        <v>0</v>
      </c>
      <c r="L345" s="11">
        <f t="shared" si="78"/>
        <v>0</v>
      </c>
      <c r="M345" s="11">
        <f t="shared" si="78"/>
        <v>0</v>
      </c>
      <c r="N345" s="11">
        <f t="shared" si="78"/>
        <v>4990000</v>
      </c>
      <c r="O345" s="11">
        <f t="shared" si="78"/>
        <v>4290000</v>
      </c>
      <c r="P345" s="10">
        <f t="shared" si="67"/>
        <v>4990000</v>
      </c>
    </row>
    <row r="346" spans="1:16" ht="25.5" hidden="1">
      <c r="A346" s="33"/>
      <c r="B346" s="12">
        <v>7470</v>
      </c>
      <c r="C346" s="13" t="s">
        <v>59</v>
      </c>
      <c r="D346" s="14" t="s">
        <v>113</v>
      </c>
      <c r="E346" s="15">
        <f>F346+I346</f>
        <v>0</v>
      </c>
      <c r="F346" s="14">
        <v>0</v>
      </c>
      <c r="G346" s="14">
        <v>0</v>
      </c>
      <c r="H346" s="14">
        <v>0</v>
      </c>
      <c r="I346" s="14">
        <v>0</v>
      </c>
      <c r="J346" s="15">
        <f>K346+N346</f>
        <v>4990000</v>
      </c>
      <c r="K346" s="14">
        <v>0</v>
      </c>
      <c r="L346" s="14">
        <v>0</v>
      </c>
      <c r="M346" s="14">
        <v>0</v>
      </c>
      <c r="N346" s="14">
        <f>3730000+700000+560000</f>
        <v>4990000</v>
      </c>
      <c r="O346" s="14">
        <f>3730000+560000</f>
        <v>4290000</v>
      </c>
      <c r="P346" s="15">
        <f t="shared" si="67"/>
        <v>4990000</v>
      </c>
    </row>
    <row r="347" spans="1:16" hidden="1">
      <c r="A347" s="33"/>
      <c r="B347" s="12"/>
      <c r="C347" s="13"/>
      <c r="D347" s="11" t="s">
        <v>109</v>
      </c>
      <c r="E347" s="15">
        <f>F347+I347</f>
        <v>0</v>
      </c>
      <c r="F347" s="14">
        <v>0</v>
      </c>
      <c r="G347" s="14">
        <v>0</v>
      </c>
      <c r="H347" s="14">
        <v>0</v>
      </c>
      <c r="I347" s="14">
        <v>0</v>
      </c>
      <c r="J347" s="15">
        <f>K347+N347</f>
        <v>2590000</v>
      </c>
      <c r="K347" s="14">
        <v>0</v>
      </c>
      <c r="L347" s="14">
        <v>0</v>
      </c>
      <c r="M347" s="14">
        <v>0</v>
      </c>
      <c r="N347" s="14">
        <f>1330000+700000+200000+360000</f>
        <v>2590000</v>
      </c>
      <c r="O347" s="14">
        <f>1330000+200000+360000</f>
        <v>1890000</v>
      </c>
      <c r="P347" s="15">
        <f t="shared" si="67"/>
        <v>2590000</v>
      </c>
    </row>
    <row r="348" spans="1:16" hidden="1">
      <c r="A348" s="33"/>
      <c r="B348" s="12"/>
      <c r="C348" s="13"/>
      <c r="D348" s="11" t="s">
        <v>111</v>
      </c>
      <c r="E348" s="15">
        <f>F348+I348</f>
        <v>0</v>
      </c>
      <c r="F348" s="14">
        <v>0</v>
      </c>
      <c r="G348" s="14">
        <v>0</v>
      </c>
      <c r="H348" s="14">
        <v>0</v>
      </c>
      <c r="I348" s="14">
        <v>0</v>
      </c>
      <c r="J348" s="15">
        <f>K348+N348</f>
        <v>2400000</v>
      </c>
      <c r="K348" s="14">
        <v>0</v>
      </c>
      <c r="L348" s="14">
        <v>0</v>
      </c>
      <c r="M348" s="14">
        <v>0</v>
      </c>
      <c r="N348" s="14">
        <v>2400000</v>
      </c>
      <c r="O348" s="14">
        <v>2400000</v>
      </c>
      <c r="P348" s="15">
        <f t="shared" si="67"/>
        <v>2400000</v>
      </c>
    </row>
    <row r="349" spans="1:16" ht="25.5" hidden="1">
      <c r="A349" s="7"/>
      <c r="B349" s="6" t="s">
        <v>77</v>
      </c>
      <c r="C349" s="8"/>
      <c r="D349" s="11" t="s">
        <v>78</v>
      </c>
      <c r="E349" s="10">
        <f>E350</f>
        <v>0</v>
      </c>
      <c r="F349" s="11">
        <v>0</v>
      </c>
      <c r="G349" s="11">
        <v>0</v>
      </c>
      <c r="H349" s="11">
        <v>0</v>
      </c>
      <c r="I349" s="11">
        <v>0</v>
      </c>
      <c r="J349" s="10">
        <f>J350</f>
        <v>5000</v>
      </c>
      <c r="K349" s="11">
        <v>5000</v>
      </c>
      <c r="L349" s="11">
        <v>0</v>
      </c>
      <c r="M349" s="11">
        <v>0</v>
      </c>
      <c r="N349" s="11">
        <v>0</v>
      </c>
      <c r="O349" s="11">
        <v>0</v>
      </c>
      <c r="P349" s="10">
        <f t="shared" si="67"/>
        <v>5000</v>
      </c>
    </row>
    <row r="350" spans="1:16" hidden="1">
      <c r="A350" s="33"/>
      <c r="B350" s="12" t="s">
        <v>80</v>
      </c>
      <c r="C350" s="13" t="s">
        <v>79</v>
      </c>
      <c r="D350" s="14" t="s">
        <v>81</v>
      </c>
      <c r="E350" s="15">
        <f>F350+I350</f>
        <v>0</v>
      </c>
      <c r="F350" s="14">
        <v>0</v>
      </c>
      <c r="G350" s="14">
        <v>0</v>
      </c>
      <c r="H350" s="14">
        <v>0</v>
      </c>
      <c r="I350" s="14">
        <v>0</v>
      </c>
      <c r="J350" s="15">
        <f>K350+N350</f>
        <v>5000</v>
      </c>
      <c r="K350" s="14">
        <v>5000</v>
      </c>
      <c r="L350" s="14">
        <v>0</v>
      </c>
      <c r="M350" s="14">
        <v>0</v>
      </c>
      <c r="N350" s="14">
        <v>0</v>
      </c>
      <c r="O350" s="14">
        <v>0</v>
      </c>
      <c r="P350" s="15">
        <f t="shared" si="67"/>
        <v>5000</v>
      </c>
    </row>
    <row r="351" spans="1:16" hidden="1">
      <c r="A351" s="7"/>
      <c r="B351" s="6" t="s">
        <v>82</v>
      </c>
      <c r="C351" s="8"/>
      <c r="D351" s="11" t="s">
        <v>83</v>
      </c>
      <c r="E351" s="10">
        <f>E352+E353+E355+E354</f>
        <v>4095910</v>
      </c>
      <c r="F351" s="32">
        <f>F352+F353+F355+F354</f>
        <v>4095910</v>
      </c>
      <c r="G351" s="32">
        <f>G352+G353+G355+G354</f>
        <v>0</v>
      </c>
      <c r="H351" s="32">
        <f>H352+H353+H355+H354</f>
        <v>0</v>
      </c>
      <c r="I351" s="32">
        <f>I352+I353+I355+I354</f>
        <v>0</v>
      </c>
      <c r="J351" s="10">
        <f t="shared" ref="J351:O351" si="79">J352+J353+J355</f>
        <v>80000</v>
      </c>
      <c r="K351" s="11">
        <f t="shared" si="79"/>
        <v>0</v>
      </c>
      <c r="L351" s="11">
        <f t="shared" si="79"/>
        <v>0</v>
      </c>
      <c r="M351" s="11">
        <f t="shared" si="79"/>
        <v>0</v>
      </c>
      <c r="N351" s="11">
        <f t="shared" si="79"/>
        <v>80000</v>
      </c>
      <c r="O351" s="11">
        <f t="shared" si="79"/>
        <v>80000</v>
      </c>
      <c r="P351" s="10">
        <f t="shared" si="67"/>
        <v>4175910</v>
      </c>
    </row>
    <row r="352" spans="1:16" hidden="1">
      <c r="A352" s="33"/>
      <c r="B352" s="12" t="s">
        <v>85</v>
      </c>
      <c r="C352" s="13" t="s">
        <v>84</v>
      </c>
      <c r="D352" s="14" t="s">
        <v>86</v>
      </c>
      <c r="E352" s="15">
        <v>0</v>
      </c>
      <c r="F352" s="14">
        <v>0</v>
      </c>
      <c r="G352" s="14">
        <v>0</v>
      </c>
      <c r="H352" s="14">
        <v>0</v>
      </c>
      <c r="I352" s="14">
        <v>0</v>
      </c>
      <c r="J352" s="15">
        <f>K352+N352</f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f t="shared" si="67"/>
        <v>0</v>
      </c>
    </row>
    <row r="353" spans="1:16" ht="38.25" hidden="1">
      <c r="A353" s="33"/>
      <c r="B353" s="12">
        <v>8370</v>
      </c>
      <c r="C353" s="13" t="s">
        <v>114</v>
      </c>
      <c r="D353" s="14" t="s">
        <v>115</v>
      </c>
      <c r="E353" s="15">
        <f>F353+I353</f>
        <v>550000</v>
      </c>
      <c r="F353" s="14">
        <f>450000+100000</f>
        <v>550000</v>
      </c>
      <c r="G353" s="14">
        <v>0</v>
      </c>
      <c r="H353" s="14">
        <v>0</v>
      </c>
      <c r="I353" s="14">
        <v>0</v>
      </c>
      <c r="J353" s="15">
        <f>K353+N353</f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f t="shared" si="67"/>
        <v>550000</v>
      </c>
    </row>
    <row r="354" spans="1:16" hidden="1">
      <c r="A354" s="33"/>
      <c r="B354" s="12">
        <v>8600</v>
      </c>
      <c r="C354" s="13" t="s">
        <v>84</v>
      </c>
      <c r="D354" s="14" t="s">
        <v>119</v>
      </c>
      <c r="E354" s="15">
        <f>F354+I354</f>
        <v>90000</v>
      </c>
      <c r="F354" s="14">
        <v>90000</v>
      </c>
      <c r="G354" s="14">
        <v>0</v>
      </c>
      <c r="H354" s="14">
        <v>0</v>
      </c>
      <c r="I354" s="14">
        <v>0</v>
      </c>
      <c r="J354" s="15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f t="shared" si="67"/>
        <v>90000</v>
      </c>
    </row>
    <row r="355" spans="1:16" hidden="1">
      <c r="A355" s="33"/>
      <c r="B355" s="12">
        <v>8800</v>
      </c>
      <c r="C355" s="13" t="s">
        <v>114</v>
      </c>
      <c r="D355" s="14" t="s">
        <v>116</v>
      </c>
      <c r="E355" s="15">
        <f>F355+I355</f>
        <v>3455910</v>
      </c>
      <c r="F355" s="14">
        <f>3275910+180000</f>
        <v>3455910</v>
      </c>
      <c r="G355" s="14">
        <v>0</v>
      </c>
      <c r="H355" s="14">
        <v>0</v>
      </c>
      <c r="I355" s="14">
        <v>0</v>
      </c>
      <c r="J355" s="15">
        <f>K355+N355</f>
        <v>80000</v>
      </c>
      <c r="K355" s="14">
        <v>0</v>
      </c>
      <c r="L355" s="14">
        <v>0</v>
      </c>
      <c r="M355" s="14">
        <v>0</v>
      </c>
      <c r="N355" s="14">
        <f>1080000+195000-1195000</f>
        <v>80000</v>
      </c>
      <c r="O355" s="14">
        <f>1080000+195000-1195000</f>
        <v>80000</v>
      </c>
      <c r="P355" s="15">
        <f t="shared" si="67"/>
        <v>3535910</v>
      </c>
    </row>
    <row r="356" spans="1:16" hidden="1">
      <c r="A356" s="7"/>
      <c r="B356" s="6" t="s">
        <v>87</v>
      </c>
      <c r="C356" s="8"/>
      <c r="D356" s="11" t="s">
        <v>88</v>
      </c>
      <c r="E356" s="10">
        <f t="shared" ref="E356:O356" si="80">E357+E360</f>
        <v>0</v>
      </c>
      <c r="F356" s="11">
        <f t="shared" si="80"/>
        <v>0</v>
      </c>
      <c r="G356" s="11">
        <f t="shared" si="80"/>
        <v>0</v>
      </c>
      <c r="H356" s="11">
        <f t="shared" si="80"/>
        <v>0</v>
      </c>
      <c r="I356" s="11">
        <f t="shared" si="80"/>
        <v>0</v>
      </c>
      <c r="J356" s="10">
        <f t="shared" si="80"/>
        <v>5293000</v>
      </c>
      <c r="K356" s="11">
        <f t="shared" si="80"/>
        <v>1093000</v>
      </c>
      <c r="L356" s="11">
        <f t="shared" si="80"/>
        <v>0</v>
      </c>
      <c r="M356" s="11">
        <f t="shared" si="80"/>
        <v>0</v>
      </c>
      <c r="N356" s="11">
        <f t="shared" si="80"/>
        <v>4200000</v>
      </c>
      <c r="O356" s="11">
        <f t="shared" si="80"/>
        <v>0</v>
      </c>
      <c r="P356" s="10">
        <f t="shared" si="67"/>
        <v>5293000</v>
      </c>
    </row>
    <row r="357" spans="1:16" ht="25.5" hidden="1">
      <c r="A357" s="33"/>
      <c r="B357" s="12" t="s">
        <v>89</v>
      </c>
      <c r="C357" s="13" t="s">
        <v>79</v>
      </c>
      <c r="D357" s="14" t="s">
        <v>90</v>
      </c>
      <c r="E357" s="15">
        <v>0</v>
      </c>
      <c r="F357" s="14">
        <v>0</v>
      </c>
      <c r="G357" s="14">
        <v>0</v>
      </c>
      <c r="H357" s="14">
        <v>0</v>
      </c>
      <c r="I357" s="14">
        <v>0</v>
      </c>
      <c r="J357" s="15">
        <f>K357+N357</f>
        <v>3493000</v>
      </c>
      <c r="K357" s="14">
        <f>513000+300000+280000</f>
        <v>1093000</v>
      </c>
      <c r="L357" s="14">
        <v>0</v>
      </c>
      <c r="M357" s="14">
        <v>0</v>
      </c>
      <c r="N357" s="14">
        <f>1500000+500000+200000+200000</f>
        <v>2400000</v>
      </c>
      <c r="O357" s="14">
        <v>0</v>
      </c>
      <c r="P357" s="15">
        <f t="shared" si="67"/>
        <v>3493000</v>
      </c>
    </row>
    <row r="358" spans="1:16" hidden="1">
      <c r="A358" s="33"/>
      <c r="B358" s="12"/>
      <c r="C358" s="13"/>
      <c r="D358" s="11" t="s">
        <v>111</v>
      </c>
      <c r="E358" s="15">
        <v>0</v>
      </c>
      <c r="F358" s="14">
        <v>0</v>
      </c>
      <c r="G358" s="14">
        <v>0</v>
      </c>
      <c r="H358" s="14">
        <v>0</v>
      </c>
      <c r="I358" s="14">
        <v>0</v>
      </c>
      <c r="J358" s="15">
        <v>200000</v>
      </c>
      <c r="K358" s="14">
        <v>0</v>
      </c>
      <c r="L358" s="14">
        <v>0</v>
      </c>
      <c r="M358" s="14">
        <v>0</v>
      </c>
      <c r="N358" s="14">
        <v>200000</v>
      </c>
      <c r="O358" s="14">
        <v>0</v>
      </c>
      <c r="P358" s="15">
        <v>200000</v>
      </c>
    </row>
    <row r="359" spans="1:16" hidden="1">
      <c r="A359" s="33"/>
      <c r="B359" s="12"/>
      <c r="C359" s="13"/>
      <c r="D359" s="11" t="s">
        <v>109</v>
      </c>
      <c r="E359" s="15">
        <v>0</v>
      </c>
      <c r="F359" s="14">
        <v>0</v>
      </c>
      <c r="G359" s="14">
        <v>0</v>
      </c>
      <c r="H359" s="14">
        <v>0</v>
      </c>
      <c r="I359" s="14">
        <v>0</v>
      </c>
      <c r="J359" s="15">
        <v>2200000</v>
      </c>
      <c r="K359" s="14">
        <v>0</v>
      </c>
      <c r="L359" s="14">
        <v>0</v>
      </c>
      <c r="M359" s="14">
        <v>0</v>
      </c>
      <c r="N359" s="14">
        <v>2200000</v>
      </c>
      <c r="O359" s="14">
        <v>0</v>
      </c>
      <c r="P359" s="15">
        <v>2200000</v>
      </c>
    </row>
    <row r="360" spans="1:16" ht="51" hidden="1">
      <c r="A360" s="33"/>
      <c r="B360" s="12" t="s">
        <v>91</v>
      </c>
      <c r="C360" s="13" t="s">
        <v>84</v>
      </c>
      <c r="D360" s="14" t="s">
        <v>92</v>
      </c>
      <c r="E360" s="15">
        <v>0</v>
      </c>
      <c r="F360" s="14">
        <v>0</v>
      </c>
      <c r="G360" s="14">
        <v>0</v>
      </c>
      <c r="H360" s="14">
        <v>0</v>
      </c>
      <c r="I360" s="14">
        <v>0</v>
      </c>
      <c r="J360" s="15">
        <f>K360+N360</f>
        <v>1800000</v>
      </c>
      <c r="K360" s="14">
        <v>0</v>
      </c>
      <c r="L360" s="14">
        <v>0</v>
      </c>
      <c r="M360" s="14">
        <v>0</v>
      </c>
      <c r="N360" s="14">
        <f>1500000+1000000-700000</f>
        <v>1800000</v>
      </c>
      <c r="O360" s="14">
        <v>0</v>
      </c>
      <c r="P360" s="15">
        <f t="shared" ref="P360:P363" si="81">E360+J360</f>
        <v>1800000</v>
      </c>
    </row>
    <row r="361" spans="1:16" ht="25.5" hidden="1">
      <c r="A361" s="7" t="s">
        <v>103</v>
      </c>
      <c r="B361" s="12"/>
      <c r="C361" s="13"/>
      <c r="D361" s="11" t="s">
        <v>104</v>
      </c>
      <c r="E361" s="15">
        <f t="shared" ref="E361:O361" si="82">E362</f>
        <v>5181425</v>
      </c>
      <c r="F361" s="15">
        <f t="shared" si="82"/>
        <v>5181425</v>
      </c>
      <c r="G361" s="15">
        <f t="shared" si="82"/>
        <v>2907964</v>
      </c>
      <c r="H361" s="15">
        <f t="shared" si="82"/>
        <v>719697</v>
      </c>
      <c r="I361" s="15">
        <f t="shared" si="82"/>
        <v>0</v>
      </c>
      <c r="J361" s="15">
        <f t="shared" si="82"/>
        <v>1000692</v>
      </c>
      <c r="K361" s="15">
        <f t="shared" si="82"/>
        <v>185692</v>
      </c>
      <c r="L361" s="15">
        <f t="shared" si="82"/>
        <v>0</v>
      </c>
      <c r="M361" s="15">
        <f t="shared" si="82"/>
        <v>0</v>
      </c>
      <c r="N361" s="15">
        <f t="shared" si="82"/>
        <v>815000</v>
      </c>
      <c r="O361" s="15">
        <f t="shared" si="82"/>
        <v>815000</v>
      </c>
      <c r="P361" s="15">
        <f t="shared" si="81"/>
        <v>6182117</v>
      </c>
    </row>
    <row r="362" spans="1:16" ht="51" hidden="1">
      <c r="A362" s="33"/>
      <c r="B362" s="12">
        <v>1020</v>
      </c>
      <c r="C362" s="13" t="s">
        <v>28</v>
      </c>
      <c r="D362" s="14" t="s">
        <v>30</v>
      </c>
      <c r="E362" s="15">
        <f>F362+I362</f>
        <v>5181425</v>
      </c>
      <c r="F362" s="14">
        <f>4956425+225000</f>
        <v>5181425</v>
      </c>
      <c r="G362" s="14">
        <f>2724259+225000-41295</f>
        <v>2907964</v>
      </c>
      <c r="H362" s="14">
        <v>719697</v>
      </c>
      <c r="I362" s="14">
        <v>0</v>
      </c>
      <c r="J362" s="15">
        <f>K362+N362</f>
        <v>1000692</v>
      </c>
      <c r="K362" s="14">
        <v>185692</v>
      </c>
      <c r="L362" s="14">
        <v>0</v>
      </c>
      <c r="M362" s="14">
        <v>0</v>
      </c>
      <c r="N362" s="14">
        <v>815000</v>
      </c>
      <c r="O362" s="14">
        <v>815000</v>
      </c>
      <c r="P362" s="15">
        <f t="shared" si="81"/>
        <v>6182117</v>
      </c>
    </row>
    <row r="363" spans="1:16" hidden="1">
      <c r="A363" s="16"/>
      <c r="B363" s="17" t="s">
        <v>93</v>
      </c>
      <c r="C363" s="18"/>
      <c r="D363" s="19" t="s">
        <v>10</v>
      </c>
      <c r="E363" s="10">
        <f t="shared" ref="E363:O363" si="83">E315+E361</f>
        <v>32524611</v>
      </c>
      <c r="F363" s="10">
        <f t="shared" si="83"/>
        <v>32112611</v>
      </c>
      <c r="G363" s="10">
        <f t="shared" si="83"/>
        <v>8264570</v>
      </c>
      <c r="H363" s="10">
        <f t="shared" si="83"/>
        <v>3263234</v>
      </c>
      <c r="I363" s="10">
        <f t="shared" si="83"/>
        <v>412000</v>
      </c>
      <c r="J363" s="10">
        <f t="shared" si="83"/>
        <v>28862612</v>
      </c>
      <c r="K363" s="10">
        <f t="shared" si="83"/>
        <v>1323692</v>
      </c>
      <c r="L363" s="10">
        <f t="shared" si="83"/>
        <v>0</v>
      </c>
      <c r="M363" s="10">
        <f t="shared" si="83"/>
        <v>0</v>
      </c>
      <c r="N363" s="10">
        <f t="shared" si="83"/>
        <v>27538920</v>
      </c>
      <c r="O363" s="10">
        <f t="shared" si="83"/>
        <v>22638920</v>
      </c>
      <c r="P363" s="10">
        <f t="shared" si="81"/>
        <v>61387223</v>
      </c>
    </row>
    <row r="364" spans="1:16" hidden="1"/>
    <row r="365" spans="1:16" hidden="1"/>
    <row r="366" spans="1:16" hidden="1">
      <c r="B366" s="2" t="s">
        <v>94</v>
      </c>
      <c r="I366" s="2" t="s">
        <v>95</v>
      </c>
    </row>
    <row r="367" spans="1:16" hidden="1">
      <c r="A367" t="s">
        <v>0</v>
      </c>
      <c r="M367" t="s">
        <v>1</v>
      </c>
    </row>
    <row r="368" spans="1:16" hidden="1">
      <c r="M368" t="s">
        <v>183</v>
      </c>
    </row>
    <row r="369" spans="1:16" ht="27.75" hidden="1" customHeight="1">
      <c r="M369" s="103" t="s">
        <v>176</v>
      </c>
      <c r="N369" s="103"/>
      <c r="O369" s="103"/>
      <c r="P369" s="103"/>
    </row>
    <row r="370" spans="1:16" hidden="1"/>
    <row r="371" spans="1:16" hidden="1">
      <c r="A371" s="92" t="s">
        <v>2</v>
      </c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1:16" hidden="1">
      <c r="A372" s="92" t="s">
        <v>175</v>
      </c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1:16" hidden="1">
      <c r="P373" s="1" t="s">
        <v>4</v>
      </c>
    </row>
    <row r="374" spans="1:16" hidden="1">
      <c r="A374" s="94" t="s">
        <v>5</v>
      </c>
      <c r="B374" s="94" t="s">
        <v>6</v>
      </c>
      <c r="C374" s="94" t="s">
        <v>7</v>
      </c>
      <c r="D374" s="95" t="s">
        <v>8</v>
      </c>
      <c r="E374" s="95" t="s">
        <v>9</v>
      </c>
      <c r="F374" s="95"/>
      <c r="G374" s="95"/>
      <c r="H374" s="95"/>
      <c r="I374" s="95"/>
      <c r="J374" s="95" t="s">
        <v>16</v>
      </c>
      <c r="K374" s="95"/>
      <c r="L374" s="95"/>
      <c r="M374" s="95"/>
      <c r="N374" s="95"/>
      <c r="O374" s="95"/>
      <c r="P374" s="96" t="s">
        <v>18</v>
      </c>
    </row>
    <row r="375" spans="1:16" hidden="1">
      <c r="A375" s="95"/>
      <c r="B375" s="95"/>
      <c r="C375" s="95"/>
      <c r="D375" s="95"/>
      <c r="E375" s="96" t="s">
        <v>10</v>
      </c>
      <c r="F375" s="95" t="s">
        <v>11</v>
      </c>
      <c r="G375" s="95" t="s">
        <v>12</v>
      </c>
      <c r="H375" s="95"/>
      <c r="I375" s="95" t="s">
        <v>15</v>
      </c>
      <c r="J375" s="96" t="s">
        <v>10</v>
      </c>
      <c r="K375" s="95" t="s">
        <v>11</v>
      </c>
      <c r="L375" s="95" t="s">
        <v>12</v>
      </c>
      <c r="M375" s="95"/>
      <c r="N375" s="95" t="s">
        <v>15</v>
      </c>
      <c r="O375" s="35" t="s">
        <v>12</v>
      </c>
      <c r="P375" s="95"/>
    </row>
    <row r="376" spans="1:16" hidden="1">
      <c r="A376" s="95"/>
      <c r="B376" s="95"/>
      <c r="C376" s="95"/>
      <c r="D376" s="95"/>
      <c r="E376" s="95"/>
      <c r="F376" s="95"/>
      <c r="G376" s="95" t="s">
        <v>13</v>
      </c>
      <c r="H376" s="95" t="s">
        <v>14</v>
      </c>
      <c r="I376" s="95"/>
      <c r="J376" s="95"/>
      <c r="K376" s="95"/>
      <c r="L376" s="95" t="s">
        <v>13</v>
      </c>
      <c r="M376" s="95" t="s">
        <v>14</v>
      </c>
      <c r="N376" s="95"/>
      <c r="O376" s="95" t="s">
        <v>17</v>
      </c>
      <c r="P376" s="95"/>
    </row>
    <row r="377" spans="1:16" ht="18" hidden="1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1:16" hidden="1">
      <c r="A378" s="35">
        <v>1</v>
      </c>
      <c r="B378" s="35">
        <v>2</v>
      </c>
      <c r="C378" s="35">
        <v>3</v>
      </c>
      <c r="D378" s="35">
        <v>4</v>
      </c>
      <c r="E378" s="36">
        <v>5</v>
      </c>
      <c r="F378" s="35">
        <v>6</v>
      </c>
      <c r="G378" s="35">
        <v>7</v>
      </c>
      <c r="H378" s="35">
        <v>8</v>
      </c>
      <c r="I378" s="35">
        <v>9</v>
      </c>
      <c r="J378" s="36">
        <v>10</v>
      </c>
      <c r="K378" s="35">
        <v>11</v>
      </c>
      <c r="L378" s="35">
        <v>12</v>
      </c>
      <c r="M378" s="35">
        <v>13</v>
      </c>
      <c r="N378" s="35">
        <v>14</v>
      </c>
      <c r="O378" s="35">
        <v>15</v>
      </c>
      <c r="P378" s="36">
        <v>16</v>
      </c>
    </row>
    <row r="379" spans="1:16" hidden="1">
      <c r="A379" s="6" t="s">
        <v>124</v>
      </c>
      <c r="B379" s="7"/>
      <c r="C379" s="38"/>
      <c r="D379" s="45" t="s">
        <v>182</v>
      </c>
      <c r="E379" s="41">
        <f t="shared" ref="E379:O379" si="84">E380+E382+E388+E391+E396+E399+E405+E408+E411+E414+E416+E420+E422+E429</f>
        <v>60016703</v>
      </c>
      <c r="F379" s="10">
        <f t="shared" si="84"/>
        <v>58420703</v>
      </c>
      <c r="G379" s="10">
        <f t="shared" si="84"/>
        <v>25290541</v>
      </c>
      <c r="H379" s="10">
        <f t="shared" si="84"/>
        <v>5813148</v>
      </c>
      <c r="I379" s="10">
        <f t="shared" si="84"/>
        <v>1596000</v>
      </c>
      <c r="J379" s="10">
        <f>J380+J382+J388+J391+J396+J399+J405+J408+J411+J414+J416+J420+J422</f>
        <v>9896697</v>
      </c>
      <c r="K379" s="10">
        <f t="shared" si="84"/>
        <v>604000</v>
      </c>
      <c r="L379" s="10">
        <f t="shared" si="84"/>
        <v>0</v>
      </c>
      <c r="M379" s="10">
        <f t="shared" si="84"/>
        <v>0</v>
      </c>
      <c r="N379" s="10">
        <f t="shared" si="84"/>
        <v>9508697</v>
      </c>
      <c r="O379" s="10">
        <f t="shared" si="84"/>
        <v>9508697</v>
      </c>
      <c r="P379" s="10">
        <f t="shared" ref="P379:P430" si="85">E379+J379</f>
        <v>69913400</v>
      </c>
    </row>
    <row r="380" spans="1:16" ht="13.5" hidden="1" thickBot="1">
      <c r="A380" s="6" t="s">
        <v>125</v>
      </c>
      <c r="B380" s="7"/>
      <c r="C380" s="38"/>
      <c r="D380" s="45" t="s">
        <v>182</v>
      </c>
      <c r="E380" s="41">
        <f t="shared" ref="E380:O380" si="86">E381</f>
        <v>11294935</v>
      </c>
      <c r="F380" s="11">
        <f t="shared" si="86"/>
        <v>11294935</v>
      </c>
      <c r="G380" s="11">
        <f t="shared" si="86"/>
        <v>7522991</v>
      </c>
      <c r="H380" s="11">
        <f t="shared" si="86"/>
        <v>856886</v>
      </c>
      <c r="I380" s="11">
        <f t="shared" si="86"/>
        <v>0</v>
      </c>
      <c r="J380" s="10">
        <f t="shared" si="86"/>
        <v>235000</v>
      </c>
      <c r="K380" s="11">
        <f t="shared" si="86"/>
        <v>35000</v>
      </c>
      <c r="L380" s="11">
        <f t="shared" si="86"/>
        <v>0</v>
      </c>
      <c r="M380" s="11">
        <f t="shared" si="86"/>
        <v>0</v>
      </c>
      <c r="N380" s="11">
        <f t="shared" si="86"/>
        <v>200000</v>
      </c>
      <c r="O380" s="11">
        <f t="shared" si="86"/>
        <v>200000</v>
      </c>
      <c r="P380" s="10">
        <f t="shared" si="85"/>
        <v>11529935</v>
      </c>
    </row>
    <row r="381" spans="1:16" ht="64.5" hidden="1" thickBot="1">
      <c r="A381" s="6" t="s">
        <v>126</v>
      </c>
      <c r="B381" s="6" t="s">
        <v>127</v>
      </c>
      <c r="C381" s="39" t="s">
        <v>23</v>
      </c>
      <c r="D381" s="44" t="s">
        <v>181</v>
      </c>
      <c r="E381" s="42">
        <f>F381+I381</f>
        <v>11294935</v>
      </c>
      <c r="F381" s="14">
        <v>11294935</v>
      </c>
      <c r="G381" s="14">
        <v>7522991</v>
      </c>
      <c r="H381" s="14">
        <v>856886</v>
      </c>
      <c r="I381" s="14">
        <v>0</v>
      </c>
      <c r="J381" s="15">
        <f>K381+N381</f>
        <v>235000</v>
      </c>
      <c r="K381" s="14">
        <v>35000</v>
      </c>
      <c r="L381" s="14">
        <v>0</v>
      </c>
      <c r="M381" s="14">
        <v>0</v>
      </c>
      <c r="N381" s="14">
        <v>200000</v>
      </c>
      <c r="O381" s="14">
        <v>200000</v>
      </c>
      <c r="P381" s="15">
        <f t="shared" si="85"/>
        <v>11529935</v>
      </c>
    </row>
    <row r="382" spans="1:16" ht="13.5" hidden="1" thickBot="1">
      <c r="A382" s="7"/>
      <c r="B382" s="6" t="s">
        <v>26</v>
      </c>
      <c r="C382" s="38"/>
      <c r="D382" s="45" t="s">
        <v>27</v>
      </c>
      <c r="E382" s="41">
        <f>E384+E387+E383</f>
        <v>23025178</v>
      </c>
      <c r="F382" s="10">
        <f t="shared" ref="F382:O382" si="87">F384+F387+F383</f>
        <v>23025178</v>
      </c>
      <c r="G382" s="10">
        <f t="shared" si="87"/>
        <v>13240596</v>
      </c>
      <c r="H382" s="10">
        <f t="shared" si="87"/>
        <v>4073242</v>
      </c>
      <c r="I382" s="10">
        <f t="shared" si="87"/>
        <v>0</v>
      </c>
      <c r="J382" s="10">
        <f t="shared" si="87"/>
        <v>195000</v>
      </c>
      <c r="K382" s="10">
        <f t="shared" si="87"/>
        <v>130000</v>
      </c>
      <c r="L382" s="10">
        <f t="shared" si="87"/>
        <v>0</v>
      </c>
      <c r="M382" s="10">
        <f t="shared" si="87"/>
        <v>0</v>
      </c>
      <c r="N382" s="10">
        <f t="shared" si="87"/>
        <v>65000</v>
      </c>
      <c r="O382" s="10">
        <f t="shared" si="87"/>
        <v>65000</v>
      </c>
      <c r="P382" s="10">
        <f t="shared" si="85"/>
        <v>23220178</v>
      </c>
    </row>
    <row r="383" spans="1:16" ht="13.5" hidden="1" thickBot="1">
      <c r="A383" s="6" t="s">
        <v>128</v>
      </c>
      <c r="B383" s="6">
        <v>1010</v>
      </c>
      <c r="C383" s="39" t="s">
        <v>129</v>
      </c>
      <c r="D383" s="44" t="s">
        <v>132</v>
      </c>
      <c r="E383" s="42">
        <f>F383+I383</f>
        <v>2373120</v>
      </c>
      <c r="F383" s="21">
        <v>2373120</v>
      </c>
      <c r="G383" s="21">
        <v>1508373</v>
      </c>
      <c r="H383" s="21">
        <v>348146</v>
      </c>
      <c r="I383" s="21"/>
      <c r="J383" s="15">
        <f>K383+N383</f>
        <v>90000</v>
      </c>
      <c r="K383" s="21">
        <v>50000</v>
      </c>
      <c r="L383" s="21"/>
      <c r="M383" s="21"/>
      <c r="N383" s="21">
        <v>40000</v>
      </c>
      <c r="O383" s="21">
        <v>40000</v>
      </c>
      <c r="P383" s="15">
        <f t="shared" si="85"/>
        <v>2463120</v>
      </c>
    </row>
    <row r="384" spans="1:16" ht="63.75" hidden="1">
      <c r="A384" s="6" t="s">
        <v>130</v>
      </c>
      <c r="B384" s="6">
        <v>1020</v>
      </c>
      <c r="C384" s="39" t="s">
        <v>28</v>
      </c>
      <c r="D384" s="45" t="s">
        <v>131</v>
      </c>
      <c r="E384" s="42">
        <f>F384+I384</f>
        <v>20102058</v>
      </c>
      <c r="F384" s="14">
        <v>20102058</v>
      </c>
      <c r="G384" s="14">
        <v>11732223</v>
      </c>
      <c r="H384" s="14">
        <v>3725096</v>
      </c>
      <c r="I384" s="14">
        <v>0</v>
      </c>
      <c r="J384" s="15">
        <f>K384+N384</f>
        <v>105000</v>
      </c>
      <c r="K384" s="14">
        <v>80000</v>
      </c>
      <c r="L384" s="14">
        <v>0</v>
      </c>
      <c r="M384" s="14">
        <v>0</v>
      </c>
      <c r="N384" s="14">
        <v>25000</v>
      </c>
      <c r="O384" s="14">
        <v>25000</v>
      </c>
      <c r="P384" s="15">
        <f t="shared" si="85"/>
        <v>20207058</v>
      </c>
    </row>
    <row r="385" spans="1:16" ht="25.5" hidden="1">
      <c r="A385" s="6"/>
      <c r="B385" s="6"/>
      <c r="C385" s="39"/>
      <c r="D385" s="46" t="s">
        <v>133</v>
      </c>
      <c r="E385" s="42">
        <f>F385+I385</f>
        <v>13801200</v>
      </c>
      <c r="F385" s="14">
        <v>13801200</v>
      </c>
      <c r="G385" s="14">
        <v>11312500</v>
      </c>
      <c r="H385" s="14"/>
      <c r="I385" s="14"/>
      <c r="J385" s="15">
        <f>K385+N385</f>
        <v>0</v>
      </c>
      <c r="K385" s="14"/>
      <c r="L385" s="14"/>
      <c r="M385" s="14"/>
      <c r="N385" s="14"/>
      <c r="O385" s="14"/>
      <c r="P385" s="15">
        <f t="shared" si="85"/>
        <v>13801200</v>
      </c>
    </row>
    <row r="386" spans="1:16" ht="13.5" hidden="1" thickBot="1">
      <c r="A386" s="6" t="s">
        <v>130</v>
      </c>
      <c r="B386" s="6">
        <v>1020</v>
      </c>
      <c r="C386" s="39" t="s">
        <v>28</v>
      </c>
      <c r="D386" s="45" t="s">
        <v>134</v>
      </c>
      <c r="E386" s="42">
        <f>F386+I386</f>
        <v>5607350</v>
      </c>
      <c r="F386" s="14">
        <v>5607350</v>
      </c>
      <c r="G386" s="14">
        <v>3183898</v>
      </c>
      <c r="H386" s="14">
        <v>770788</v>
      </c>
      <c r="I386" s="14"/>
      <c r="J386" s="15">
        <f>K386+N386</f>
        <v>105000</v>
      </c>
      <c r="K386" s="14">
        <v>80000</v>
      </c>
      <c r="L386" s="14"/>
      <c r="M386" s="14"/>
      <c r="N386" s="14">
        <v>25000</v>
      </c>
      <c r="O386" s="14">
        <v>25000</v>
      </c>
      <c r="P386" s="15">
        <f t="shared" si="85"/>
        <v>5712350</v>
      </c>
    </row>
    <row r="387" spans="1:16" ht="13.5" hidden="1" thickBot="1">
      <c r="A387" s="6" t="s">
        <v>135</v>
      </c>
      <c r="B387" s="6">
        <v>1162</v>
      </c>
      <c r="C387" s="39" t="s">
        <v>31</v>
      </c>
      <c r="D387" s="50" t="s">
        <v>136</v>
      </c>
      <c r="E387" s="42">
        <f>F387+I387</f>
        <v>550000</v>
      </c>
      <c r="F387" s="14">
        <v>550000</v>
      </c>
      <c r="G387" s="14">
        <v>0</v>
      </c>
      <c r="H387" s="14">
        <v>0</v>
      </c>
      <c r="I387" s="14">
        <v>0</v>
      </c>
      <c r="J387" s="15">
        <f>K387+N387</f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5">
        <f t="shared" si="85"/>
        <v>550000</v>
      </c>
    </row>
    <row r="388" spans="1:16" ht="13.5" hidden="1" thickBot="1">
      <c r="A388" s="7"/>
      <c r="B388" s="6" t="s">
        <v>34</v>
      </c>
      <c r="C388" s="38"/>
      <c r="D388" s="45" t="s">
        <v>35</v>
      </c>
      <c r="E388" s="41">
        <f t="shared" ref="E388:O388" si="88">E389+E390</f>
        <v>1501000</v>
      </c>
      <c r="F388" s="11">
        <f t="shared" si="88"/>
        <v>1501000</v>
      </c>
      <c r="G388" s="11">
        <f t="shared" si="88"/>
        <v>0</v>
      </c>
      <c r="H388" s="11">
        <f t="shared" si="88"/>
        <v>0</v>
      </c>
      <c r="I388" s="11">
        <f t="shared" si="88"/>
        <v>0</v>
      </c>
      <c r="J388" s="23">
        <f t="shared" si="88"/>
        <v>0</v>
      </c>
      <c r="K388" s="11">
        <f t="shared" si="88"/>
        <v>0</v>
      </c>
      <c r="L388" s="11">
        <f t="shared" si="88"/>
        <v>0</v>
      </c>
      <c r="M388" s="11">
        <f t="shared" si="88"/>
        <v>0</v>
      </c>
      <c r="N388" s="11">
        <f t="shared" si="88"/>
        <v>0</v>
      </c>
      <c r="O388" s="11">
        <f t="shared" si="88"/>
        <v>0</v>
      </c>
      <c r="P388" s="10">
        <f t="shared" si="85"/>
        <v>1501000</v>
      </c>
    </row>
    <row r="389" spans="1:16" ht="13.5" hidden="1" thickBot="1">
      <c r="A389" s="7"/>
      <c r="B389" s="20"/>
      <c r="C389" s="40"/>
      <c r="D389" s="46" t="s">
        <v>106</v>
      </c>
      <c r="E389" s="43">
        <f>F389+I389</f>
        <v>0</v>
      </c>
      <c r="F389" s="21"/>
      <c r="G389" s="21"/>
      <c r="H389" s="21">
        <v>0</v>
      </c>
      <c r="I389" s="21">
        <v>0</v>
      </c>
      <c r="J389" s="22">
        <f>K389+N389</f>
        <v>0</v>
      </c>
      <c r="K389" s="11"/>
      <c r="L389" s="11"/>
      <c r="M389" s="11"/>
      <c r="N389" s="11"/>
      <c r="O389" s="11"/>
      <c r="P389" s="15">
        <f t="shared" si="85"/>
        <v>0</v>
      </c>
    </row>
    <row r="390" spans="1:16" ht="26.25" hidden="1" thickBot="1">
      <c r="A390" s="6" t="s">
        <v>139</v>
      </c>
      <c r="B390" s="6">
        <v>3242</v>
      </c>
      <c r="C390" s="40" t="s">
        <v>36</v>
      </c>
      <c r="D390" s="51" t="s">
        <v>137</v>
      </c>
      <c r="E390" s="42">
        <f>F390+I390</f>
        <v>1501000</v>
      </c>
      <c r="F390" s="14">
        <v>1501000</v>
      </c>
      <c r="G390" s="14">
        <v>0</v>
      </c>
      <c r="H390" s="14">
        <v>0</v>
      </c>
      <c r="I390" s="14">
        <v>0</v>
      </c>
      <c r="J390" s="15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5">
        <f t="shared" si="85"/>
        <v>1501000</v>
      </c>
    </row>
    <row r="391" spans="1:16" ht="13.5" hidden="1" thickBot="1">
      <c r="A391" s="7"/>
      <c r="B391" s="6" t="s">
        <v>39</v>
      </c>
      <c r="C391" s="38"/>
      <c r="D391" s="45" t="s">
        <v>40</v>
      </c>
      <c r="E391" s="41">
        <f t="shared" ref="E391:O391" si="89">E392+E393+E395+E394</f>
        <v>7559508</v>
      </c>
      <c r="F391" s="10">
        <f t="shared" si="89"/>
        <v>7559508</v>
      </c>
      <c r="G391" s="10">
        <f t="shared" si="89"/>
        <v>4526954</v>
      </c>
      <c r="H391" s="10">
        <f t="shared" si="89"/>
        <v>883020</v>
      </c>
      <c r="I391" s="10">
        <f t="shared" si="89"/>
        <v>0</v>
      </c>
      <c r="J391" s="10">
        <f t="shared" si="89"/>
        <v>5000</v>
      </c>
      <c r="K391" s="10">
        <f t="shared" si="89"/>
        <v>5000</v>
      </c>
      <c r="L391" s="10">
        <f t="shared" si="89"/>
        <v>0</v>
      </c>
      <c r="M391" s="10">
        <f t="shared" si="89"/>
        <v>0</v>
      </c>
      <c r="N391" s="10">
        <f t="shared" si="89"/>
        <v>0</v>
      </c>
      <c r="O391" s="10">
        <f t="shared" si="89"/>
        <v>0</v>
      </c>
      <c r="P391" s="10">
        <f t="shared" si="85"/>
        <v>7564508</v>
      </c>
    </row>
    <row r="392" spans="1:16" ht="13.5" hidden="1" thickBot="1">
      <c r="A392" s="6" t="s">
        <v>140</v>
      </c>
      <c r="B392" s="12">
        <v>4030</v>
      </c>
      <c r="C392" s="40" t="s">
        <v>41</v>
      </c>
      <c r="D392" s="52" t="s">
        <v>138</v>
      </c>
      <c r="E392" s="42">
        <f>F392+I392</f>
        <v>515120</v>
      </c>
      <c r="F392" s="14">
        <v>515120</v>
      </c>
      <c r="G392" s="14">
        <v>413048</v>
      </c>
      <c r="H392" s="14">
        <v>0</v>
      </c>
      <c r="I392" s="14">
        <v>0</v>
      </c>
      <c r="J392" s="15">
        <f>K392+N392</f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5">
        <f t="shared" si="85"/>
        <v>515120</v>
      </c>
    </row>
    <row r="393" spans="1:16" ht="39" hidden="1" thickBot="1">
      <c r="A393" s="6" t="s">
        <v>141</v>
      </c>
      <c r="B393" s="12">
        <v>4060</v>
      </c>
      <c r="C393" s="40" t="s">
        <v>44</v>
      </c>
      <c r="D393" s="52" t="s">
        <v>142</v>
      </c>
      <c r="E393" s="42">
        <f>F393+I393</f>
        <v>5280366</v>
      </c>
      <c r="F393" s="14">
        <v>5280366</v>
      </c>
      <c r="G393" s="14">
        <v>2762167</v>
      </c>
      <c r="H393" s="14">
        <v>836520</v>
      </c>
      <c r="I393" s="14">
        <v>0</v>
      </c>
      <c r="J393" s="15">
        <f>K393+N393</f>
        <v>5000</v>
      </c>
      <c r="K393" s="14">
        <v>5000</v>
      </c>
      <c r="L393" s="14">
        <v>0</v>
      </c>
      <c r="M393" s="14">
        <v>0</v>
      </c>
      <c r="N393" s="14">
        <v>0</v>
      </c>
      <c r="O393" s="14">
        <v>0</v>
      </c>
      <c r="P393" s="15">
        <f t="shared" si="85"/>
        <v>5285366</v>
      </c>
    </row>
    <row r="394" spans="1:16" ht="13.5" hidden="1" thickBot="1">
      <c r="A394" s="6" t="s">
        <v>180</v>
      </c>
      <c r="B394" s="12">
        <v>4082</v>
      </c>
      <c r="C394" s="40" t="s">
        <v>144</v>
      </c>
      <c r="D394" s="51" t="s">
        <v>179</v>
      </c>
      <c r="E394" s="42">
        <f>F394+I394</f>
        <v>50000</v>
      </c>
      <c r="F394" s="14">
        <v>50000</v>
      </c>
      <c r="G394" s="14">
        <v>0</v>
      </c>
      <c r="H394" s="14">
        <v>0</v>
      </c>
      <c r="I394" s="14">
        <v>0</v>
      </c>
      <c r="J394" s="15">
        <f>K394+N394</f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f t="shared" si="85"/>
        <v>50000</v>
      </c>
    </row>
    <row r="395" spans="1:16" ht="51.75" hidden="1" thickBot="1">
      <c r="A395" s="6" t="s">
        <v>143</v>
      </c>
      <c r="B395" s="12">
        <v>1100</v>
      </c>
      <c r="C395" s="40" t="s">
        <v>184</v>
      </c>
      <c r="D395" s="53" t="s">
        <v>145</v>
      </c>
      <c r="E395" s="42">
        <f>F395+I395</f>
        <v>1714022</v>
      </c>
      <c r="F395" s="14">
        <v>1714022</v>
      </c>
      <c r="G395" s="14">
        <v>1351739</v>
      </c>
      <c r="H395" s="14">
        <v>46500</v>
      </c>
      <c r="I395" s="14">
        <v>0</v>
      </c>
      <c r="J395" s="15">
        <f>K395+N395</f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f t="shared" si="85"/>
        <v>1714022</v>
      </c>
    </row>
    <row r="396" spans="1:16" hidden="1">
      <c r="A396" s="7"/>
      <c r="B396" s="6" t="s">
        <v>47</v>
      </c>
      <c r="C396" s="38"/>
      <c r="D396" s="45" t="s">
        <v>48</v>
      </c>
      <c r="E396" s="41">
        <f t="shared" ref="E396:O396" si="90">E397</f>
        <v>2700000</v>
      </c>
      <c r="F396" s="11">
        <f t="shared" si="90"/>
        <v>2700000</v>
      </c>
      <c r="G396" s="11">
        <f t="shared" si="90"/>
        <v>0</v>
      </c>
      <c r="H396" s="11">
        <f t="shared" si="90"/>
        <v>0</v>
      </c>
      <c r="I396" s="11">
        <f t="shared" si="90"/>
        <v>0</v>
      </c>
      <c r="J396" s="10">
        <f t="shared" si="90"/>
        <v>517250</v>
      </c>
      <c r="K396" s="11">
        <f t="shared" si="90"/>
        <v>0</v>
      </c>
      <c r="L396" s="11">
        <f t="shared" si="90"/>
        <v>0</v>
      </c>
      <c r="M396" s="11">
        <f t="shared" si="90"/>
        <v>0</v>
      </c>
      <c r="N396" s="11">
        <f t="shared" si="90"/>
        <v>517250</v>
      </c>
      <c r="O396" s="11">
        <f t="shared" si="90"/>
        <v>517250</v>
      </c>
      <c r="P396" s="10">
        <f t="shared" si="85"/>
        <v>3217250</v>
      </c>
    </row>
    <row r="397" spans="1:16" ht="38.25" hidden="1">
      <c r="A397" s="6" t="s">
        <v>146</v>
      </c>
      <c r="B397" s="12">
        <v>5032</v>
      </c>
      <c r="C397" s="40" t="s">
        <v>49</v>
      </c>
      <c r="D397" s="46" t="s">
        <v>51</v>
      </c>
      <c r="E397" s="42">
        <f>F397+I397</f>
        <v>2700000</v>
      </c>
      <c r="F397" s="14">
        <v>2700000</v>
      </c>
      <c r="G397" s="14">
        <v>0</v>
      </c>
      <c r="H397" s="14">
        <v>0</v>
      </c>
      <c r="I397" s="14">
        <v>0</v>
      </c>
      <c r="J397" s="15">
        <f>K397+N397</f>
        <v>517250</v>
      </c>
      <c r="K397" s="14">
        <v>0</v>
      </c>
      <c r="L397" s="14">
        <v>0</v>
      </c>
      <c r="M397" s="14">
        <v>0</v>
      </c>
      <c r="N397" s="14">
        <v>517250</v>
      </c>
      <c r="O397" s="14">
        <v>517250</v>
      </c>
      <c r="P397" s="15">
        <f t="shared" si="85"/>
        <v>3217250</v>
      </c>
    </row>
    <row r="398" spans="1:16" hidden="1">
      <c r="A398" s="35"/>
      <c r="B398" s="12"/>
      <c r="C398" s="40"/>
      <c r="D398" s="45" t="s">
        <v>107</v>
      </c>
      <c r="E398" s="42">
        <f>F398+I398</f>
        <v>2700000</v>
      </c>
      <c r="F398" s="14">
        <v>2700000</v>
      </c>
      <c r="G398" s="14">
        <v>0</v>
      </c>
      <c r="H398" s="14">
        <v>0</v>
      </c>
      <c r="I398" s="14">
        <v>0</v>
      </c>
      <c r="J398" s="15">
        <f>K398+N398</f>
        <v>517250</v>
      </c>
      <c r="K398" s="14">
        <v>0</v>
      </c>
      <c r="L398" s="14">
        <v>0</v>
      </c>
      <c r="M398" s="14">
        <v>0</v>
      </c>
      <c r="N398" s="14">
        <v>517250</v>
      </c>
      <c r="O398" s="14">
        <v>517250</v>
      </c>
      <c r="P398" s="15">
        <f t="shared" si="85"/>
        <v>3217250</v>
      </c>
    </row>
    <row r="399" spans="1:16" ht="13.5" hidden="1" thickBot="1">
      <c r="A399" s="7"/>
      <c r="B399" s="6" t="s">
        <v>52</v>
      </c>
      <c r="C399" s="38"/>
      <c r="D399" s="45" t="s">
        <v>53</v>
      </c>
      <c r="E399" s="41">
        <f>E402+E404+E400</f>
        <v>7629530</v>
      </c>
      <c r="F399" s="11">
        <f>F402+F404+F400</f>
        <v>6033530</v>
      </c>
      <c r="G399" s="11">
        <f>G402+G404+G400</f>
        <v>0</v>
      </c>
      <c r="H399" s="11">
        <f>H402+H404+H400</f>
        <v>0</v>
      </c>
      <c r="I399" s="11">
        <f>I402+I404+I400</f>
        <v>1596000</v>
      </c>
      <c r="J399" s="10">
        <f t="shared" ref="J399:O399" si="91">J402+J404</f>
        <v>2176447</v>
      </c>
      <c r="K399" s="11">
        <f t="shared" si="91"/>
        <v>0</v>
      </c>
      <c r="L399" s="11">
        <f t="shared" si="91"/>
        <v>0</v>
      </c>
      <c r="M399" s="11">
        <f t="shared" si="91"/>
        <v>0</v>
      </c>
      <c r="N399" s="11">
        <f t="shared" si="91"/>
        <v>2176447</v>
      </c>
      <c r="O399" s="11">
        <f t="shared" si="91"/>
        <v>2176447</v>
      </c>
      <c r="P399" s="10">
        <f t="shared" si="85"/>
        <v>9805977</v>
      </c>
    </row>
    <row r="400" spans="1:16" ht="51.75" hidden="1" thickBot="1">
      <c r="A400" s="6" t="s">
        <v>147</v>
      </c>
      <c r="B400" s="20">
        <v>6020</v>
      </c>
      <c r="C400" s="40" t="s">
        <v>54</v>
      </c>
      <c r="D400" s="53" t="s">
        <v>148</v>
      </c>
      <c r="E400" s="41">
        <f>F400+I400</f>
        <v>1230000</v>
      </c>
      <c r="F400" s="11">
        <v>0</v>
      </c>
      <c r="G400" s="11">
        <v>0</v>
      </c>
      <c r="H400" s="11">
        <v>0</v>
      </c>
      <c r="I400" s="21">
        <v>1230000</v>
      </c>
      <c r="J400" s="10">
        <f>K400+N400</f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5">
        <f t="shared" si="85"/>
        <v>1230000</v>
      </c>
    </row>
    <row r="401" spans="1:16" ht="13.5" hidden="1" thickBot="1">
      <c r="A401" s="7"/>
      <c r="B401" s="20"/>
      <c r="C401" s="40"/>
      <c r="D401" s="45" t="s">
        <v>109</v>
      </c>
      <c r="E401" s="41">
        <f>F401+I401</f>
        <v>1230000</v>
      </c>
      <c r="F401" s="11">
        <v>0</v>
      </c>
      <c r="G401" s="11">
        <v>0</v>
      </c>
      <c r="H401" s="11">
        <v>0</v>
      </c>
      <c r="I401" s="21">
        <v>1230000</v>
      </c>
      <c r="J401" s="10">
        <f>K401+N401</f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5">
        <f t="shared" si="85"/>
        <v>1230000</v>
      </c>
    </row>
    <row r="402" spans="1:16" ht="26.25" hidden="1" thickBot="1">
      <c r="A402" s="6" t="s">
        <v>149</v>
      </c>
      <c r="B402" s="20">
        <v>6013</v>
      </c>
      <c r="C402" s="40" t="s">
        <v>54</v>
      </c>
      <c r="D402" s="54" t="s">
        <v>150</v>
      </c>
      <c r="E402" s="41">
        <f>F402+I402</f>
        <v>366000</v>
      </c>
      <c r="F402" s="21">
        <v>0</v>
      </c>
      <c r="G402" s="21">
        <v>0</v>
      </c>
      <c r="H402" s="21">
        <v>0</v>
      </c>
      <c r="I402" s="21">
        <v>366000</v>
      </c>
      <c r="J402" s="10">
        <f>K402+N402</f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15">
        <f t="shared" si="85"/>
        <v>366000</v>
      </c>
    </row>
    <row r="403" spans="1:16" ht="13.5" hidden="1" thickBot="1">
      <c r="A403" s="7"/>
      <c r="B403" s="20"/>
      <c r="C403" s="40"/>
      <c r="D403" s="45" t="s">
        <v>109</v>
      </c>
      <c r="E403" s="41">
        <f>F403+I403</f>
        <v>366000</v>
      </c>
      <c r="F403" s="21">
        <v>0</v>
      </c>
      <c r="G403" s="21">
        <v>0</v>
      </c>
      <c r="H403" s="21">
        <v>0</v>
      </c>
      <c r="I403" s="21">
        <v>366000</v>
      </c>
      <c r="J403" s="10">
        <f>K403+N403</f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15">
        <f t="shared" si="85"/>
        <v>366000</v>
      </c>
    </row>
    <row r="404" spans="1:16" ht="13.5" hidden="1" thickBot="1">
      <c r="A404" s="6" t="s">
        <v>151</v>
      </c>
      <c r="B404" s="12">
        <v>6030</v>
      </c>
      <c r="C404" s="40" t="s">
        <v>54</v>
      </c>
      <c r="D404" s="53" t="s">
        <v>152</v>
      </c>
      <c r="E404" s="42">
        <f>F404+I404</f>
        <v>6033530</v>
      </c>
      <c r="F404" s="14">
        <v>6033530</v>
      </c>
      <c r="G404" s="14">
        <v>0</v>
      </c>
      <c r="H404" s="14">
        <v>0</v>
      </c>
      <c r="I404" s="14">
        <v>0</v>
      </c>
      <c r="J404" s="15">
        <f>K404+N404</f>
        <v>2176447</v>
      </c>
      <c r="K404" s="14">
        <v>0</v>
      </c>
      <c r="L404" s="14">
        <v>0</v>
      </c>
      <c r="M404" s="14">
        <v>0</v>
      </c>
      <c r="N404" s="14">
        <v>2176447</v>
      </c>
      <c r="O404" s="14">
        <v>2176447</v>
      </c>
      <c r="P404" s="15">
        <f t="shared" si="85"/>
        <v>8209977</v>
      </c>
    </row>
    <row r="405" spans="1:16" ht="13.5" hidden="1" thickBot="1">
      <c r="A405" s="7"/>
      <c r="B405" s="6">
        <v>7300</v>
      </c>
      <c r="C405" s="38"/>
      <c r="D405" s="44" t="s">
        <v>153</v>
      </c>
      <c r="E405" s="41">
        <f>E406</f>
        <v>0</v>
      </c>
      <c r="F405" s="11">
        <f>F406</f>
        <v>0</v>
      </c>
      <c r="G405" s="11">
        <f>G406</f>
        <v>0</v>
      </c>
      <c r="H405" s="11">
        <f>H406</f>
        <v>0</v>
      </c>
      <c r="I405" s="11">
        <f>I406</f>
        <v>0</v>
      </c>
      <c r="J405" s="10">
        <f t="shared" ref="J405:O405" si="92">J406+J407</f>
        <v>2300000</v>
      </c>
      <c r="K405" s="32">
        <f t="shared" si="92"/>
        <v>0</v>
      </c>
      <c r="L405" s="32">
        <f t="shared" si="92"/>
        <v>0</v>
      </c>
      <c r="M405" s="32">
        <f t="shared" si="92"/>
        <v>0</v>
      </c>
      <c r="N405" s="32">
        <f t="shared" si="92"/>
        <v>2300000</v>
      </c>
      <c r="O405" s="32">
        <f t="shared" si="92"/>
        <v>2300000</v>
      </c>
      <c r="P405" s="10">
        <f t="shared" si="85"/>
        <v>2300000</v>
      </c>
    </row>
    <row r="406" spans="1:16" ht="39" hidden="1" thickBot="1">
      <c r="A406" s="6" t="s">
        <v>154</v>
      </c>
      <c r="B406" s="12">
        <v>7360</v>
      </c>
      <c r="C406" s="40" t="s">
        <v>155</v>
      </c>
      <c r="D406" s="51" t="s">
        <v>156</v>
      </c>
      <c r="E406" s="42">
        <f>F406+I406</f>
        <v>0</v>
      </c>
      <c r="F406" s="14">
        <v>0</v>
      </c>
      <c r="G406" s="14">
        <v>0</v>
      </c>
      <c r="H406" s="14">
        <v>0</v>
      </c>
      <c r="I406" s="14">
        <v>0</v>
      </c>
      <c r="J406" s="15">
        <f>K406+N406</f>
        <v>2300000</v>
      </c>
      <c r="K406" s="14">
        <v>0</v>
      </c>
      <c r="L406" s="14">
        <v>0</v>
      </c>
      <c r="M406" s="14">
        <v>0</v>
      </c>
      <c r="N406" s="14">
        <v>2300000</v>
      </c>
      <c r="O406" s="14">
        <v>2300000</v>
      </c>
      <c r="P406" s="15">
        <f t="shared" si="85"/>
        <v>2300000</v>
      </c>
    </row>
    <row r="407" spans="1:16" ht="39" hidden="1" thickBot="1">
      <c r="A407" s="35"/>
      <c r="B407" s="12">
        <v>6370</v>
      </c>
      <c r="C407" s="40" t="s">
        <v>121</v>
      </c>
      <c r="D407" s="47" t="s">
        <v>122</v>
      </c>
      <c r="E407" s="42">
        <v>0</v>
      </c>
      <c r="F407" s="14">
        <v>0</v>
      </c>
      <c r="G407" s="14">
        <v>0</v>
      </c>
      <c r="H407" s="14">
        <v>0</v>
      </c>
      <c r="I407" s="14">
        <v>0</v>
      </c>
      <c r="J407" s="15">
        <f>K407+N407</f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5">
        <f t="shared" si="85"/>
        <v>0</v>
      </c>
    </row>
    <row r="408" spans="1:16" ht="26.25" hidden="1" thickBot="1">
      <c r="A408" s="7"/>
      <c r="B408" s="6">
        <v>7400</v>
      </c>
      <c r="C408" s="38"/>
      <c r="D408" s="44" t="s">
        <v>157</v>
      </c>
      <c r="E408" s="41">
        <f t="shared" ref="E408:O408" si="93">E409</f>
        <v>1000000</v>
      </c>
      <c r="F408" s="11">
        <f t="shared" si="93"/>
        <v>1000000</v>
      </c>
      <c r="G408" s="11">
        <f t="shared" si="93"/>
        <v>0</v>
      </c>
      <c r="H408" s="11">
        <f t="shared" si="93"/>
        <v>0</v>
      </c>
      <c r="I408" s="11">
        <f t="shared" si="93"/>
        <v>0</v>
      </c>
      <c r="J408" s="10">
        <f t="shared" si="93"/>
        <v>2500000</v>
      </c>
      <c r="K408" s="11">
        <f t="shared" si="93"/>
        <v>0</v>
      </c>
      <c r="L408" s="11">
        <f t="shared" si="93"/>
        <v>0</v>
      </c>
      <c r="M408" s="11">
        <f t="shared" si="93"/>
        <v>0</v>
      </c>
      <c r="N408" s="11">
        <f t="shared" si="93"/>
        <v>2500000</v>
      </c>
      <c r="O408" s="11">
        <f t="shared" si="93"/>
        <v>2500000</v>
      </c>
      <c r="P408" s="10">
        <f t="shared" si="85"/>
        <v>3500000</v>
      </c>
    </row>
    <row r="409" spans="1:16" ht="26.25" hidden="1" thickBot="1">
      <c r="A409" s="6" t="s">
        <v>158</v>
      </c>
      <c r="B409" s="12">
        <v>7440</v>
      </c>
      <c r="C409" s="40" t="s">
        <v>64</v>
      </c>
      <c r="D409" s="53" t="s">
        <v>159</v>
      </c>
      <c r="E409" s="42">
        <f>F409+I409</f>
        <v>1000000</v>
      </c>
      <c r="F409" s="14">
        <v>1000000</v>
      </c>
      <c r="G409" s="14">
        <v>0</v>
      </c>
      <c r="H409" s="14">
        <v>0</v>
      </c>
      <c r="I409" s="14">
        <v>0</v>
      </c>
      <c r="J409" s="15">
        <f>K409+N409</f>
        <v>2500000</v>
      </c>
      <c r="K409" s="14">
        <v>0</v>
      </c>
      <c r="L409" s="14">
        <v>0</v>
      </c>
      <c r="M409" s="14">
        <v>0</v>
      </c>
      <c r="N409" s="14">
        <v>2500000</v>
      </c>
      <c r="O409" s="14">
        <v>2500000</v>
      </c>
      <c r="P409" s="15">
        <f t="shared" si="85"/>
        <v>3500000</v>
      </c>
    </row>
    <row r="410" spans="1:16" ht="13.5" hidden="1" thickBot="1">
      <c r="A410" s="35"/>
      <c r="B410" s="12"/>
      <c r="C410" s="40"/>
      <c r="D410" s="45" t="s">
        <v>110</v>
      </c>
      <c r="E410" s="42">
        <f>F410+I410</f>
        <v>0</v>
      </c>
      <c r="F410" s="14">
        <v>0</v>
      </c>
      <c r="G410" s="14">
        <v>0</v>
      </c>
      <c r="H410" s="14">
        <v>0</v>
      </c>
      <c r="I410" s="14">
        <v>0</v>
      </c>
      <c r="J410" s="15">
        <f>K410+N410</f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f t="shared" si="85"/>
        <v>0</v>
      </c>
    </row>
    <row r="411" spans="1:16" ht="13.5" hidden="1" thickBot="1">
      <c r="A411" s="7"/>
      <c r="B411" s="6">
        <v>8400</v>
      </c>
      <c r="C411" s="38"/>
      <c r="D411" s="44" t="s">
        <v>68</v>
      </c>
      <c r="E411" s="41">
        <f t="shared" ref="E411:O411" si="94">E412</f>
        <v>156552</v>
      </c>
      <c r="F411" s="11">
        <f t="shared" si="94"/>
        <v>156552</v>
      </c>
      <c r="G411" s="11">
        <f t="shared" si="94"/>
        <v>0</v>
      </c>
      <c r="H411" s="11">
        <f t="shared" si="94"/>
        <v>0</v>
      </c>
      <c r="I411" s="11">
        <f t="shared" si="94"/>
        <v>0</v>
      </c>
      <c r="J411" s="10">
        <f t="shared" si="94"/>
        <v>0</v>
      </c>
      <c r="K411" s="11">
        <f t="shared" si="94"/>
        <v>0</v>
      </c>
      <c r="L411" s="11">
        <f t="shared" si="94"/>
        <v>0</v>
      </c>
      <c r="M411" s="11">
        <f t="shared" si="94"/>
        <v>0</v>
      </c>
      <c r="N411" s="11">
        <f t="shared" si="94"/>
        <v>0</v>
      </c>
      <c r="O411" s="11">
        <f t="shared" si="94"/>
        <v>0</v>
      </c>
      <c r="P411" s="10">
        <f t="shared" si="85"/>
        <v>156552</v>
      </c>
    </row>
    <row r="412" spans="1:16" ht="13.5" hidden="1" thickBot="1">
      <c r="A412" s="6" t="s">
        <v>160</v>
      </c>
      <c r="B412" s="12">
        <v>8410</v>
      </c>
      <c r="C412" s="40" t="s">
        <v>69</v>
      </c>
      <c r="D412" s="55" t="s">
        <v>161</v>
      </c>
      <c r="E412" s="42">
        <f>F412+I412</f>
        <v>156552</v>
      </c>
      <c r="F412" s="14">
        <v>156552</v>
      </c>
      <c r="G412" s="14">
        <v>0</v>
      </c>
      <c r="H412" s="14">
        <v>0</v>
      </c>
      <c r="I412" s="14">
        <v>0</v>
      </c>
      <c r="J412" s="15">
        <f>K412+N412</f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f t="shared" si="85"/>
        <v>156552</v>
      </c>
    </row>
    <row r="413" spans="1:16" ht="13.5" hidden="1" thickBot="1">
      <c r="A413" s="35"/>
      <c r="B413" s="12"/>
      <c r="C413" s="40"/>
      <c r="D413" s="45" t="s">
        <v>111</v>
      </c>
      <c r="E413" s="42">
        <f>F413+I413</f>
        <v>156552</v>
      </c>
      <c r="F413" s="14">
        <v>156552</v>
      </c>
      <c r="G413" s="14">
        <v>0</v>
      </c>
      <c r="H413" s="14">
        <v>0</v>
      </c>
      <c r="I413" s="14">
        <v>0</v>
      </c>
      <c r="J413" s="15">
        <f>K413+N413</f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f t="shared" si="85"/>
        <v>156552</v>
      </c>
    </row>
    <row r="414" spans="1:16" ht="26.25" hidden="1" thickBot="1">
      <c r="A414" s="7"/>
      <c r="B414" s="6">
        <v>7100</v>
      </c>
      <c r="C414" s="38"/>
      <c r="D414" s="44" t="s">
        <v>162</v>
      </c>
      <c r="E414" s="41">
        <f t="shared" ref="E414:O414" si="95">E415</f>
        <v>100000</v>
      </c>
      <c r="F414" s="11">
        <f t="shared" si="95"/>
        <v>100000</v>
      </c>
      <c r="G414" s="11">
        <f t="shared" si="95"/>
        <v>0</v>
      </c>
      <c r="H414" s="11">
        <f t="shared" si="95"/>
        <v>0</v>
      </c>
      <c r="I414" s="11">
        <f t="shared" si="95"/>
        <v>0</v>
      </c>
      <c r="J414" s="10">
        <f t="shared" si="95"/>
        <v>150000</v>
      </c>
      <c r="K414" s="11">
        <f t="shared" si="95"/>
        <v>0</v>
      </c>
      <c r="L414" s="11">
        <f t="shared" si="95"/>
        <v>0</v>
      </c>
      <c r="M414" s="11">
        <f t="shared" si="95"/>
        <v>0</v>
      </c>
      <c r="N414" s="11">
        <f t="shared" si="95"/>
        <v>150000</v>
      </c>
      <c r="O414" s="11">
        <f t="shared" si="95"/>
        <v>150000</v>
      </c>
      <c r="P414" s="10">
        <f t="shared" si="85"/>
        <v>250000</v>
      </c>
    </row>
    <row r="415" spans="1:16" ht="13.5" hidden="1" thickBot="1">
      <c r="A415" s="6" t="s">
        <v>163</v>
      </c>
      <c r="B415" s="12">
        <v>7130</v>
      </c>
      <c r="C415" s="40" t="s">
        <v>74</v>
      </c>
      <c r="D415" s="53" t="s">
        <v>164</v>
      </c>
      <c r="E415" s="42">
        <f>F415+I415</f>
        <v>100000</v>
      </c>
      <c r="F415" s="14">
        <v>100000</v>
      </c>
      <c r="G415" s="14">
        <v>0</v>
      </c>
      <c r="H415" s="14">
        <v>0</v>
      </c>
      <c r="I415" s="14">
        <v>0</v>
      </c>
      <c r="J415" s="15">
        <f>K415+N415</f>
        <v>150000</v>
      </c>
      <c r="K415" s="14">
        <v>0</v>
      </c>
      <c r="L415" s="14">
        <v>0</v>
      </c>
      <c r="M415" s="14">
        <v>0</v>
      </c>
      <c r="N415" s="14">
        <v>150000</v>
      </c>
      <c r="O415" s="14">
        <v>150000</v>
      </c>
      <c r="P415" s="15">
        <f t="shared" si="85"/>
        <v>250000</v>
      </c>
    </row>
    <row r="416" spans="1:16" ht="26.25" hidden="1" thickBot="1">
      <c r="A416" s="35"/>
      <c r="B416" s="6">
        <v>7600</v>
      </c>
      <c r="C416" s="40"/>
      <c r="D416" s="44" t="s">
        <v>165</v>
      </c>
      <c r="E416" s="41">
        <f t="shared" ref="E416:O416" si="96">E417</f>
        <v>0</v>
      </c>
      <c r="F416" s="11">
        <f t="shared" si="96"/>
        <v>0</v>
      </c>
      <c r="G416" s="11">
        <f t="shared" si="96"/>
        <v>0</v>
      </c>
      <c r="H416" s="11">
        <f t="shared" si="96"/>
        <v>0</v>
      </c>
      <c r="I416" s="11">
        <f t="shared" si="96"/>
        <v>0</v>
      </c>
      <c r="J416" s="10">
        <f t="shared" si="96"/>
        <v>1600000</v>
      </c>
      <c r="K416" s="11">
        <f t="shared" si="96"/>
        <v>0</v>
      </c>
      <c r="L416" s="11">
        <f t="shared" si="96"/>
        <v>0</v>
      </c>
      <c r="M416" s="11">
        <f t="shared" si="96"/>
        <v>0</v>
      </c>
      <c r="N416" s="11">
        <f t="shared" si="96"/>
        <v>1600000</v>
      </c>
      <c r="O416" s="11">
        <f t="shared" si="96"/>
        <v>1600000</v>
      </c>
      <c r="P416" s="10">
        <f t="shared" si="85"/>
        <v>1600000</v>
      </c>
    </row>
    <row r="417" spans="1:16" ht="26.25" hidden="1" thickBot="1">
      <c r="A417" s="6" t="s">
        <v>166</v>
      </c>
      <c r="B417" s="12">
        <v>7670</v>
      </c>
      <c r="C417" s="40" t="s">
        <v>59</v>
      </c>
      <c r="D417" s="53" t="s">
        <v>167</v>
      </c>
      <c r="E417" s="42">
        <f>F417+I417</f>
        <v>0</v>
      </c>
      <c r="F417" s="14">
        <v>0</v>
      </c>
      <c r="G417" s="14">
        <v>0</v>
      </c>
      <c r="H417" s="14">
        <v>0</v>
      </c>
      <c r="I417" s="14">
        <v>0</v>
      </c>
      <c r="J417" s="15">
        <f>K417+N417</f>
        <v>1600000</v>
      </c>
      <c r="K417" s="14">
        <v>0</v>
      </c>
      <c r="L417" s="14">
        <v>0</v>
      </c>
      <c r="M417" s="14">
        <v>0</v>
      </c>
      <c r="N417" s="14">
        <v>1600000</v>
      </c>
      <c r="O417" s="14">
        <v>1600000</v>
      </c>
      <c r="P417" s="15">
        <f t="shared" si="85"/>
        <v>1600000</v>
      </c>
    </row>
    <row r="418" spans="1:16" hidden="1">
      <c r="A418" s="35"/>
      <c r="B418" s="12"/>
      <c r="C418" s="40"/>
      <c r="D418" s="45" t="s">
        <v>109</v>
      </c>
      <c r="E418" s="42">
        <f>F418+I418</f>
        <v>0</v>
      </c>
      <c r="F418" s="14">
        <v>0</v>
      </c>
      <c r="G418" s="14">
        <v>0</v>
      </c>
      <c r="H418" s="14">
        <v>0</v>
      </c>
      <c r="I418" s="14">
        <v>0</v>
      </c>
      <c r="J418" s="15">
        <f>K418+N418</f>
        <v>1000000</v>
      </c>
      <c r="K418" s="14">
        <v>0</v>
      </c>
      <c r="L418" s="14">
        <v>0</v>
      </c>
      <c r="M418" s="14">
        <v>0</v>
      </c>
      <c r="N418" s="14">
        <v>1000000</v>
      </c>
      <c r="O418" s="14">
        <v>1000000</v>
      </c>
      <c r="P418" s="15">
        <f t="shared" si="85"/>
        <v>1000000</v>
      </c>
    </row>
    <row r="419" spans="1:16" ht="13.5" hidden="1" thickBot="1">
      <c r="A419" s="35"/>
      <c r="B419" s="12"/>
      <c r="C419" s="40"/>
      <c r="D419" s="45" t="s">
        <v>111</v>
      </c>
      <c r="E419" s="42">
        <f>F419+I419</f>
        <v>0</v>
      </c>
      <c r="F419" s="14">
        <v>0</v>
      </c>
      <c r="G419" s="14">
        <v>0</v>
      </c>
      <c r="H419" s="14">
        <v>0</v>
      </c>
      <c r="I419" s="14">
        <v>0</v>
      </c>
      <c r="J419" s="15">
        <f>K419+N419</f>
        <v>600000</v>
      </c>
      <c r="K419" s="14">
        <v>0</v>
      </c>
      <c r="L419" s="14">
        <v>0</v>
      </c>
      <c r="M419" s="14">
        <v>0</v>
      </c>
      <c r="N419" s="14">
        <v>600000</v>
      </c>
      <c r="O419" s="14">
        <v>600000</v>
      </c>
      <c r="P419" s="15">
        <f t="shared" si="85"/>
        <v>600000</v>
      </c>
    </row>
    <row r="420" spans="1:16" ht="26.25" hidden="1" thickBot="1">
      <c r="A420" s="7"/>
      <c r="B420" s="6">
        <v>8300</v>
      </c>
      <c r="C420" s="38"/>
      <c r="D420" s="44" t="s">
        <v>168</v>
      </c>
      <c r="E420" s="41">
        <f>E421</f>
        <v>0</v>
      </c>
      <c r="F420" s="11">
        <v>0</v>
      </c>
      <c r="G420" s="11">
        <v>0</v>
      </c>
      <c r="H420" s="11">
        <v>0</v>
      </c>
      <c r="I420" s="11">
        <v>0</v>
      </c>
      <c r="J420" s="10">
        <f>J421+J430</f>
        <v>218000</v>
      </c>
      <c r="K420" s="11">
        <f>K421+K430</f>
        <v>218000</v>
      </c>
      <c r="L420" s="11">
        <v>0</v>
      </c>
      <c r="M420" s="11">
        <v>0</v>
      </c>
      <c r="N420" s="11">
        <v>0</v>
      </c>
      <c r="O420" s="11">
        <v>0</v>
      </c>
      <c r="P420" s="10">
        <f t="shared" si="85"/>
        <v>218000</v>
      </c>
    </row>
    <row r="421" spans="1:16" ht="26.25" hidden="1" thickBot="1">
      <c r="A421" s="6" t="s">
        <v>169</v>
      </c>
      <c r="B421" s="12">
        <v>8311</v>
      </c>
      <c r="C421" s="40" t="s">
        <v>79</v>
      </c>
      <c r="D421" s="54" t="s">
        <v>90</v>
      </c>
      <c r="E421" s="42">
        <f>F421+I421</f>
        <v>0</v>
      </c>
      <c r="F421" s="14">
        <v>0</v>
      </c>
      <c r="G421" s="14">
        <v>0</v>
      </c>
      <c r="H421" s="14">
        <v>0</v>
      </c>
      <c r="I421" s="14">
        <v>0</v>
      </c>
      <c r="J421" s="15">
        <f>K421+N421</f>
        <v>2000</v>
      </c>
      <c r="K421" s="14">
        <v>2000</v>
      </c>
      <c r="L421" s="14">
        <v>0</v>
      </c>
      <c r="M421" s="14">
        <v>0</v>
      </c>
      <c r="N421" s="14">
        <v>0</v>
      </c>
      <c r="O421" s="14">
        <v>0</v>
      </c>
      <c r="P421" s="15">
        <f t="shared" si="85"/>
        <v>2000</v>
      </c>
    </row>
    <row r="422" spans="1:16" ht="26.25" hidden="1" thickBot="1">
      <c r="A422" s="7"/>
      <c r="B422" s="6">
        <v>8300</v>
      </c>
      <c r="C422" s="38"/>
      <c r="D422" s="44" t="s">
        <v>168</v>
      </c>
      <c r="E422" s="41">
        <f>E423+E426+E428+E427+E424</f>
        <v>0</v>
      </c>
      <c r="F422" s="32">
        <f>F423+F426+F428+F427+F424</f>
        <v>0</v>
      </c>
      <c r="G422" s="32">
        <f>G423+G426+G428+G427+G424</f>
        <v>0</v>
      </c>
      <c r="H422" s="32">
        <f>H423+H426+H428+H427+H424</f>
        <v>0</v>
      </c>
      <c r="I422" s="32">
        <f>I423+I426+I428+I427+I424</f>
        <v>0</v>
      </c>
      <c r="J422" s="10">
        <f t="shared" ref="J422:O422" si="97">J423+J426+J428</f>
        <v>0</v>
      </c>
      <c r="K422" s="11">
        <f t="shared" si="97"/>
        <v>0</v>
      </c>
      <c r="L422" s="11">
        <f t="shared" si="97"/>
        <v>0</v>
      </c>
      <c r="M422" s="11">
        <f t="shared" si="97"/>
        <v>0</v>
      </c>
      <c r="N422" s="11">
        <f t="shared" si="97"/>
        <v>0</v>
      </c>
      <c r="O422" s="11">
        <f t="shared" si="97"/>
        <v>0</v>
      </c>
      <c r="P422" s="10">
        <f t="shared" si="85"/>
        <v>0</v>
      </c>
    </row>
    <row r="423" spans="1:16" ht="13.5" hidden="1" thickBot="1">
      <c r="A423" s="35"/>
      <c r="B423" s="12"/>
      <c r="C423" s="40"/>
      <c r="D423" s="46"/>
      <c r="E423" s="42">
        <v>0</v>
      </c>
      <c r="F423" s="14">
        <v>0</v>
      </c>
      <c r="G423" s="14">
        <v>0</v>
      </c>
      <c r="H423" s="14">
        <v>0</v>
      </c>
      <c r="I423" s="14">
        <v>0</v>
      </c>
      <c r="J423" s="15">
        <f>K423+N423</f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5">
        <f t="shared" si="85"/>
        <v>0</v>
      </c>
    </row>
    <row r="424" spans="1:16" ht="13.5" hidden="1" thickBot="1">
      <c r="A424" s="37"/>
      <c r="B424" s="12"/>
      <c r="C424" s="40"/>
      <c r="D424" s="46"/>
      <c r="E424" s="42">
        <f>F424+I424</f>
        <v>0</v>
      </c>
      <c r="F424" s="14"/>
      <c r="G424" s="14"/>
      <c r="H424" s="14">
        <v>0</v>
      </c>
      <c r="I424" s="14">
        <v>0</v>
      </c>
      <c r="J424" s="15">
        <f>K424+N424</f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f t="shared" si="85"/>
        <v>0</v>
      </c>
    </row>
    <row r="425" spans="1:16" ht="13.5" hidden="1" thickBot="1">
      <c r="A425" s="37"/>
      <c r="B425" s="12"/>
      <c r="C425" s="40"/>
      <c r="D425" s="45"/>
      <c r="E425" s="42">
        <f>F425+I425</f>
        <v>0</v>
      </c>
      <c r="F425" s="14"/>
      <c r="G425" s="14"/>
      <c r="H425" s="14">
        <v>0</v>
      </c>
      <c r="I425" s="14">
        <v>0</v>
      </c>
      <c r="J425" s="15">
        <f>K425+N425</f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f t="shared" si="85"/>
        <v>0</v>
      </c>
    </row>
    <row r="426" spans="1:16" ht="39" hidden="1" thickBot="1">
      <c r="A426" s="35"/>
      <c r="B426" s="12">
        <v>8370</v>
      </c>
      <c r="C426" s="40" t="s">
        <v>114</v>
      </c>
      <c r="D426" s="46" t="s">
        <v>115</v>
      </c>
      <c r="E426" s="42">
        <f>F426+I426</f>
        <v>0</v>
      </c>
      <c r="F426" s="14"/>
      <c r="G426" s="14">
        <v>0</v>
      </c>
      <c r="H426" s="14">
        <v>0</v>
      </c>
      <c r="I426" s="14">
        <v>0</v>
      </c>
      <c r="J426" s="15">
        <f>K426+N426</f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5">
        <f t="shared" si="85"/>
        <v>0</v>
      </c>
    </row>
    <row r="427" spans="1:16" ht="13.5" hidden="1" thickBot="1">
      <c r="A427" s="35"/>
      <c r="B427" s="12">
        <v>8600</v>
      </c>
      <c r="C427" s="40" t="s">
        <v>84</v>
      </c>
      <c r="D427" s="46" t="s">
        <v>119</v>
      </c>
      <c r="E427" s="42">
        <f>F427+I427</f>
        <v>0</v>
      </c>
      <c r="F427" s="14"/>
      <c r="G427" s="14">
        <v>0</v>
      </c>
      <c r="H427" s="14">
        <v>0</v>
      </c>
      <c r="I427" s="14">
        <v>0</v>
      </c>
      <c r="J427" s="15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5">
        <f t="shared" si="85"/>
        <v>0</v>
      </c>
    </row>
    <row r="428" spans="1:16" ht="13.5" hidden="1" thickBot="1">
      <c r="A428" s="35"/>
      <c r="B428" s="12">
        <v>8800</v>
      </c>
      <c r="C428" s="40" t="s">
        <v>114</v>
      </c>
      <c r="D428" s="46" t="s">
        <v>116</v>
      </c>
      <c r="E428" s="42">
        <f>F428+I428</f>
        <v>0</v>
      </c>
      <c r="F428" s="14"/>
      <c r="G428" s="14">
        <v>0</v>
      </c>
      <c r="H428" s="14">
        <v>0</v>
      </c>
      <c r="I428" s="14">
        <v>0</v>
      </c>
      <c r="J428" s="15">
        <f>K428+N428</f>
        <v>0</v>
      </c>
      <c r="K428" s="14">
        <v>0</v>
      </c>
      <c r="L428" s="14">
        <v>0</v>
      </c>
      <c r="M428" s="14">
        <v>0</v>
      </c>
      <c r="N428" s="14"/>
      <c r="O428" s="14"/>
      <c r="P428" s="15">
        <f t="shared" si="85"/>
        <v>0</v>
      </c>
    </row>
    <row r="429" spans="1:16" ht="13.5" hidden="1" thickBot="1">
      <c r="A429" s="7"/>
      <c r="B429" s="6" t="s">
        <v>87</v>
      </c>
      <c r="C429" s="38"/>
      <c r="D429" s="45" t="s">
        <v>88</v>
      </c>
      <c r="E429" s="41">
        <f t="shared" ref="E429:O429" si="98">E430+E433</f>
        <v>5050000</v>
      </c>
      <c r="F429" s="11">
        <f t="shared" si="98"/>
        <v>5050000</v>
      </c>
      <c r="G429" s="11">
        <f t="shared" si="98"/>
        <v>0</v>
      </c>
      <c r="H429" s="11">
        <f t="shared" si="98"/>
        <v>0</v>
      </c>
      <c r="I429" s="11">
        <f t="shared" si="98"/>
        <v>0</v>
      </c>
      <c r="J429" s="10">
        <f t="shared" si="98"/>
        <v>216000</v>
      </c>
      <c r="K429" s="11">
        <f t="shared" si="98"/>
        <v>216000</v>
      </c>
      <c r="L429" s="11">
        <f t="shared" si="98"/>
        <v>0</v>
      </c>
      <c r="M429" s="11">
        <f t="shared" si="98"/>
        <v>0</v>
      </c>
      <c r="N429" s="11">
        <f t="shared" si="98"/>
        <v>0</v>
      </c>
      <c r="O429" s="11">
        <f t="shared" si="98"/>
        <v>0</v>
      </c>
      <c r="P429" s="10">
        <f t="shared" si="85"/>
        <v>5266000</v>
      </c>
    </row>
    <row r="430" spans="1:16" ht="26.25" hidden="1" thickBot="1">
      <c r="A430" s="6" t="s">
        <v>170</v>
      </c>
      <c r="B430" s="12">
        <v>8340</v>
      </c>
      <c r="C430" s="40" t="s">
        <v>171</v>
      </c>
      <c r="D430" s="53" t="s">
        <v>172</v>
      </c>
      <c r="E430" s="42">
        <v>0</v>
      </c>
      <c r="F430" s="14">
        <v>0</v>
      </c>
      <c r="G430" s="14">
        <v>0</v>
      </c>
      <c r="H430" s="14">
        <v>0</v>
      </c>
      <c r="I430" s="14">
        <v>0</v>
      </c>
      <c r="J430" s="15">
        <f>K430+N430</f>
        <v>216000</v>
      </c>
      <c r="K430" s="14">
        <v>216000</v>
      </c>
      <c r="L430" s="14">
        <v>0</v>
      </c>
      <c r="M430" s="14">
        <v>0</v>
      </c>
      <c r="N430" s="14"/>
      <c r="O430" s="14">
        <v>0</v>
      </c>
      <c r="P430" s="15">
        <f t="shared" si="85"/>
        <v>216000</v>
      </c>
    </row>
    <row r="431" spans="1:16" hidden="1">
      <c r="A431" s="35"/>
      <c r="B431" s="12"/>
      <c r="C431" s="40"/>
      <c r="D431" s="45" t="s">
        <v>111</v>
      </c>
      <c r="E431" s="42">
        <v>0</v>
      </c>
      <c r="F431" s="14">
        <v>0</v>
      </c>
      <c r="G431" s="14">
        <v>0</v>
      </c>
      <c r="H431" s="14">
        <v>0</v>
      </c>
      <c r="I431" s="14">
        <v>0</v>
      </c>
      <c r="J431" s="15"/>
      <c r="K431" s="14">
        <v>0</v>
      </c>
      <c r="L431" s="14">
        <v>0</v>
      </c>
      <c r="M431" s="14">
        <v>0</v>
      </c>
      <c r="N431" s="14"/>
      <c r="O431" s="14">
        <v>0</v>
      </c>
      <c r="P431" s="15"/>
    </row>
    <row r="432" spans="1:16" ht="13.5" hidden="1" thickBot="1">
      <c r="A432" s="35"/>
      <c r="B432" s="12"/>
      <c r="C432" s="40"/>
      <c r="D432" s="45" t="s">
        <v>109</v>
      </c>
      <c r="E432" s="42">
        <v>0</v>
      </c>
      <c r="F432" s="14">
        <v>0</v>
      </c>
      <c r="G432" s="14">
        <v>0</v>
      </c>
      <c r="H432" s="14">
        <v>0</v>
      </c>
      <c r="I432" s="14">
        <v>0</v>
      </c>
      <c r="J432" s="15">
        <v>0</v>
      </c>
      <c r="K432" s="14">
        <v>0</v>
      </c>
      <c r="L432" s="14">
        <v>0</v>
      </c>
      <c r="M432" s="14">
        <v>0</v>
      </c>
      <c r="N432" s="14"/>
      <c r="O432" s="14">
        <v>0</v>
      </c>
      <c r="P432" s="15"/>
    </row>
    <row r="433" spans="1:16" ht="38.25" hidden="1">
      <c r="A433" s="6" t="s">
        <v>173</v>
      </c>
      <c r="B433" s="6">
        <v>9410</v>
      </c>
      <c r="C433" s="39" t="s">
        <v>114</v>
      </c>
      <c r="D433" s="56" t="s">
        <v>174</v>
      </c>
      <c r="E433" s="42">
        <f>F433+I433</f>
        <v>5050000</v>
      </c>
      <c r="F433" s="14">
        <v>5050000</v>
      </c>
      <c r="G433" s="14">
        <v>0</v>
      </c>
      <c r="H433" s="14">
        <v>0</v>
      </c>
      <c r="I433" s="14">
        <v>0</v>
      </c>
      <c r="J433" s="15">
        <f>K433+N433</f>
        <v>0</v>
      </c>
      <c r="K433" s="14">
        <v>0</v>
      </c>
      <c r="L433" s="14">
        <v>0</v>
      </c>
      <c r="M433" s="14">
        <v>0</v>
      </c>
      <c r="N433" s="14"/>
      <c r="O433" s="14">
        <v>0</v>
      </c>
      <c r="P433" s="15">
        <f t="shared" ref="P433:P436" si="99">E433+J433</f>
        <v>5050000</v>
      </c>
    </row>
    <row r="434" spans="1:16" ht="25.5" hidden="1">
      <c r="A434" s="7" t="s">
        <v>103</v>
      </c>
      <c r="B434" s="12"/>
      <c r="C434" s="13"/>
      <c r="D434" s="48" t="s">
        <v>104</v>
      </c>
      <c r="E434" s="15">
        <f t="shared" ref="E434:O434" si="100">E435</f>
        <v>0</v>
      </c>
      <c r="F434" s="15">
        <f t="shared" si="100"/>
        <v>0</v>
      </c>
      <c r="G434" s="15">
        <f t="shared" si="100"/>
        <v>0</v>
      </c>
      <c r="H434" s="15">
        <f t="shared" si="100"/>
        <v>0</v>
      </c>
      <c r="I434" s="15">
        <f t="shared" si="100"/>
        <v>0</v>
      </c>
      <c r="J434" s="15">
        <f t="shared" si="100"/>
        <v>0</v>
      </c>
      <c r="K434" s="15">
        <f t="shared" si="100"/>
        <v>0</v>
      </c>
      <c r="L434" s="15">
        <f t="shared" si="100"/>
        <v>0</v>
      </c>
      <c r="M434" s="15">
        <f t="shared" si="100"/>
        <v>0</v>
      </c>
      <c r="N434" s="15">
        <f t="shared" si="100"/>
        <v>0</v>
      </c>
      <c r="O434" s="15">
        <f t="shared" si="100"/>
        <v>0</v>
      </c>
      <c r="P434" s="15">
        <f t="shared" si="99"/>
        <v>0</v>
      </c>
    </row>
    <row r="435" spans="1:16" ht="51" hidden="1">
      <c r="A435" s="35"/>
      <c r="B435" s="12">
        <v>1020</v>
      </c>
      <c r="C435" s="13" t="s">
        <v>28</v>
      </c>
      <c r="D435" s="46" t="s">
        <v>30</v>
      </c>
      <c r="E435" s="15">
        <f>F435+I435</f>
        <v>0</v>
      </c>
      <c r="F435" s="14"/>
      <c r="G435" s="14"/>
      <c r="H435" s="14"/>
      <c r="I435" s="14">
        <v>0</v>
      </c>
      <c r="J435" s="15">
        <f>K435+N435</f>
        <v>0</v>
      </c>
      <c r="K435" s="14"/>
      <c r="L435" s="14">
        <v>0</v>
      </c>
      <c r="M435" s="14">
        <v>0</v>
      </c>
      <c r="N435" s="14"/>
      <c r="O435" s="14"/>
      <c r="P435" s="15">
        <f t="shared" si="99"/>
        <v>0</v>
      </c>
    </row>
    <row r="436" spans="1:16" hidden="1">
      <c r="A436" s="16"/>
      <c r="B436" s="17" t="s">
        <v>93</v>
      </c>
      <c r="C436" s="18"/>
      <c r="D436" s="49" t="s">
        <v>10</v>
      </c>
      <c r="E436" s="10">
        <f t="shared" ref="E436:O436" si="101">E379+E434</f>
        <v>60016703</v>
      </c>
      <c r="F436" s="10">
        <f t="shared" si="101"/>
        <v>58420703</v>
      </c>
      <c r="G436" s="10">
        <f t="shared" si="101"/>
        <v>25290541</v>
      </c>
      <c r="H436" s="10">
        <f t="shared" si="101"/>
        <v>5813148</v>
      </c>
      <c r="I436" s="10">
        <f t="shared" si="101"/>
        <v>1596000</v>
      </c>
      <c r="J436" s="10">
        <f t="shared" si="101"/>
        <v>9896697</v>
      </c>
      <c r="K436" s="10">
        <f t="shared" si="101"/>
        <v>604000</v>
      </c>
      <c r="L436" s="10">
        <f t="shared" si="101"/>
        <v>0</v>
      </c>
      <c r="M436" s="10">
        <f t="shared" si="101"/>
        <v>0</v>
      </c>
      <c r="N436" s="10">
        <f t="shared" si="101"/>
        <v>9508697</v>
      </c>
      <c r="O436" s="10">
        <f t="shared" si="101"/>
        <v>9508697</v>
      </c>
      <c r="P436" s="10">
        <f t="shared" si="99"/>
        <v>69913400</v>
      </c>
    </row>
    <row r="437" spans="1:16" hidden="1"/>
    <row r="438" spans="1:16" hidden="1"/>
    <row r="439" spans="1:16" hidden="1">
      <c r="B439" s="2" t="s">
        <v>177</v>
      </c>
      <c r="I439" s="2" t="s">
        <v>178</v>
      </c>
    </row>
    <row r="440" spans="1:16" hidden="1"/>
    <row r="441" spans="1:16" ht="81" hidden="1" customHeight="1">
      <c r="A441" t="s">
        <v>0</v>
      </c>
      <c r="M441" s="91" t="s">
        <v>192</v>
      </c>
      <c r="N441" s="91"/>
      <c r="O441" s="91"/>
      <c r="P441" s="91"/>
    </row>
    <row r="442" spans="1:16" ht="15" hidden="1" customHeight="1"/>
    <row r="443" spans="1:16" ht="12.75" hidden="1" customHeight="1">
      <c r="M443" s="103"/>
      <c r="N443" s="103"/>
      <c r="O443" s="103"/>
      <c r="P443" s="103"/>
    </row>
    <row r="444" spans="1:16" hidden="1"/>
    <row r="445" spans="1:16" hidden="1">
      <c r="A445" s="92" t="s">
        <v>2</v>
      </c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</row>
    <row r="446" spans="1:16" hidden="1">
      <c r="A446" s="92" t="s">
        <v>175</v>
      </c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</row>
    <row r="447" spans="1:16" hidden="1">
      <c r="P447" s="1" t="s">
        <v>4</v>
      </c>
    </row>
    <row r="448" spans="1:16" hidden="1">
      <c r="A448" s="94" t="s">
        <v>5</v>
      </c>
      <c r="B448" s="94" t="s">
        <v>6</v>
      </c>
      <c r="C448" s="94" t="s">
        <v>7</v>
      </c>
      <c r="D448" s="95" t="s">
        <v>8</v>
      </c>
      <c r="E448" s="95" t="s">
        <v>9</v>
      </c>
      <c r="F448" s="95"/>
      <c r="G448" s="95"/>
      <c r="H448" s="95"/>
      <c r="I448" s="95"/>
      <c r="J448" s="95" t="s">
        <v>16</v>
      </c>
      <c r="K448" s="95"/>
      <c r="L448" s="95"/>
      <c r="M448" s="95"/>
      <c r="N448" s="95"/>
      <c r="O448" s="95"/>
      <c r="P448" s="96" t="s">
        <v>18</v>
      </c>
    </row>
    <row r="449" spans="1:16" hidden="1">
      <c r="A449" s="95"/>
      <c r="B449" s="95"/>
      <c r="C449" s="95"/>
      <c r="D449" s="95"/>
      <c r="E449" s="96" t="s">
        <v>10</v>
      </c>
      <c r="F449" s="95" t="s">
        <v>11</v>
      </c>
      <c r="G449" s="95" t="s">
        <v>12</v>
      </c>
      <c r="H449" s="95"/>
      <c r="I449" s="95" t="s">
        <v>15</v>
      </c>
      <c r="J449" s="96" t="s">
        <v>10</v>
      </c>
      <c r="K449" s="95" t="s">
        <v>11</v>
      </c>
      <c r="L449" s="95" t="s">
        <v>12</v>
      </c>
      <c r="M449" s="95"/>
      <c r="N449" s="95" t="s">
        <v>15</v>
      </c>
      <c r="O449" s="57" t="s">
        <v>12</v>
      </c>
      <c r="P449" s="95"/>
    </row>
    <row r="450" spans="1:16" hidden="1">
      <c r="A450" s="95"/>
      <c r="B450" s="95"/>
      <c r="C450" s="95"/>
      <c r="D450" s="95"/>
      <c r="E450" s="95"/>
      <c r="F450" s="95"/>
      <c r="G450" s="95" t="s">
        <v>13</v>
      </c>
      <c r="H450" s="95" t="s">
        <v>14</v>
      </c>
      <c r="I450" s="95"/>
      <c r="J450" s="95"/>
      <c r="K450" s="95"/>
      <c r="L450" s="95" t="s">
        <v>13</v>
      </c>
      <c r="M450" s="95" t="s">
        <v>14</v>
      </c>
      <c r="N450" s="95"/>
      <c r="O450" s="95" t="s">
        <v>17</v>
      </c>
      <c r="P450" s="95"/>
    </row>
    <row r="451" spans="1:16" hidden="1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1:16" hidden="1">
      <c r="A452" s="57">
        <v>1</v>
      </c>
      <c r="B452" s="57">
        <v>2</v>
      </c>
      <c r="C452" s="57">
        <v>3</v>
      </c>
      <c r="D452" s="57">
        <v>4</v>
      </c>
      <c r="E452" s="58">
        <v>5</v>
      </c>
      <c r="F452" s="57">
        <v>6</v>
      </c>
      <c r="G452" s="57">
        <v>7</v>
      </c>
      <c r="H452" s="57">
        <v>8</v>
      </c>
      <c r="I452" s="57">
        <v>9</v>
      </c>
      <c r="J452" s="58">
        <v>10</v>
      </c>
      <c r="K452" s="57">
        <v>11</v>
      </c>
      <c r="L452" s="57">
        <v>12</v>
      </c>
      <c r="M452" s="57">
        <v>13</v>
      </c>
      <c r="N452" s="57">
        <v>14</v>
      </c>
      <c r="O452" s="57">
        <v>15</v>
      </c>
      <c r="P452" s="58">
        <v>16</v>
      </c>
    </row>
    <row r="453" spans="1:16" hidden="1">
      <c r="A453" s="6" t="s">
        <v>124</v>
      </c>
      <c r="B453" s="7"/>
      <c r="C453" s="38"/>
      <c r="D453" s="45" t="s">
        <v>182</v>
      </c>
      <c r="E453" s="41">
        <f t="shared" ref="E453:I453" si="102">E454+E456+E462+E465+E470+E473+E479+E482+E485+E488+E490+E494+E496+E503</f>
        <v>67408262</v>
      </c>
      <c r="F453" s="10">
        <f t="shared" si="102"/>
        <v>67408262</v>
      </c>
      <c r="G453" s="10">
        <f t="shared" si="102"/>
        <v>28247146</v>
      </c>
      <c r="H453" s="10">
        <f t="shared" si="102"/>
        <v>5813148</v>
      </c>
      <c r="I453" s="10">
        <f t="shared" si="102"/>
        <v>0</v>
      </c>
      <c r="J453" s="10">
        <f>J454+J456+J462+J465+J470+J473+J479+J482+J485+J488+J490+J494+J496</f>
        <v>21155638</v>
      </c>
      <c r="K453" s="10">
        <f t="shared" ref="K453:O453" si="103">K454+K456+K462+K465+K470+K473+K479+K482+K485+K488+K490+K494+K496+K503</f>
        <v>2004000</v>
      </c>
      <c r="L453" s="10">
        <f t="shared" si="103"/>
        <v>0</v>
      </c>
      <c r="M453" s="10">
        <f t="shared" si="103"/>
        <v>0</v>
      </c>
      <c r="N453" s="10">
        <f t="shared" si="103"/>
        <v>20067638</v>
      </c>
      <c r="O453" s="10">
        <f t="shared" si="103"/>
        <v>20067638</v>
      </c>
      <c r="P453" s="10">
        <f t="shared" ref="P453:P504" si="104">E453+J453</f>
        <v>88563900</v>
      </c>
    </row>
    <row r="454" spans="1:16" ht="13.5" hidden="1" thickBot="1">
      <c r="A454" s="6" t="s">
        <v>125</v>
      </c>
      <c r="B454" s="7"/>
      <c r="C454" s="38"/>
      <c r="D454" s="45" t="s">
        <v>182</v>
      </c>
      <c r="E454" s="41">
        <f t="shared" ref="E454:O454" si="105">E455</f>
        <v>13237766</v>
      </c>
      <c r="F454" s="11">
        <f t="shared" si="105"/>
        <v>13237766</v>
      </c>
      <c r="G454" s="11">
        <f t="shared" si="105"/>
        <v>8992525</v>
      </c>
      <c r="H454" s="11">
        <f t="shared" si="105"/>
        <v>856886</v>
      </c>
      <c r="I454" s="11">
        <f t="shared" si="105"/>
        <v>0</v>
      </c>
      <c r="J454" s="10">
        <f t="shared" si="105"/>
        <v>235000</v>
      </c>
      <c r="K454" s="11">
        <f t="shared" si="105"/>
        <v>35000</v>
      </c>
      <c r="L454" s="11">
        <f t="shared" si="105"/>
        <v>0</v>
      </c>
      <c r="M454" s="11">
        <f t="shared" si="105"/>
        <v>0</v>
      </c>
      <c r="N454" s="11">
        <f t="shared" si="105"/>
        <v>200000</v>
      </c>
      <c r="O454" s="11">
        <f t="shared" si="105"/>
        <v>200000</v>
      </c>
      <c r="P454" s="10">
        <f t="shared" si="104"/>
        <v>13472766</v>
      </c>
    </row>
    <row r="455" spans="1:16" ht="64.5" hidden="1" thickBot="1">
      <c r="A455" s="6" t="s">
        <v>126</v>
      </c>
      <c r="B455" s="6" t="s">
        <v>127</v>
      </c>
      <c r="C455" s="39" t="s">
        <v>23</v>
      </c>
      <c r="D455" s="44" t="s">
        <v>181</v>
      </c>
      <c r="E455" s="42">
        <f>F455+I455</f>
        <v>13237766</v>
      </c>
      <c r="F455" s="14">
        <f>11294935+1942831</f>
        <v>13237766</v>
      </c>
      <c r="G455" s="14">
        <f>7522991+1469534</f>
        <v>8992525</v>
      </c>
      <c r="H455" s="14">
        <v>856886</v>
      </c>
      <c r="I455" s="14">
        <v>0</v>
      </c>
      <c r="J455" s="15">
        <f>K455+N455</f>
        <v>235000</v>
      </c>
      <c r="K455" s="14">
        <v>35000</v>
      </c>
      <c r="L455" s="14">
        <v>0</v>
      </c>
      <c r="M455" s="14">
        <v>0</v>
      </c>
      <c r="N455" s="14">
        <v>200000</v>
      </c>
      <c r="O455" s="14">
        <v>200000</v>
      </c>
      <c r="P455" s="15">
        <f t="shared" si="104"/>
        <v>13472766</v>
      </c>
    </row>
    <row r="456" spans="1:16" ht="13.5" hidden="1" thickBot="1">
      <c r="A456" s="7"/>
      <c r="B456" s="6" t="s">
        <v>26</v>
      </c>
      <c r="C456" s="38"/>
      <c r="D456" s="45" t="s">
        <v>27</v>
      </c>
      <c r="E456" s="41">
        <f>E458+E461+E457</f>
        <v>26078406</v>
      </c>
      <c r="F456" s="10">
        <f t="shared" ref="F456:O456" si="106">F458+F461+F457</f>
        <v>26078406</v>
      </c>
      <c r="G456" s="10">
        <f t="shared" si="106"/>
        <v>14686683</v>
      </c>
      <c r="H456" s="10">
        <f t="shared" si="106"/>
        <v>4073242</v>
      </c>
      <c r="I456" s="10">
        <f t="shared" si="106"/>
        <v>0</v>
      </c>
      <c r="J456" s="10">
        <f t="shared" si="106"/>
        <v>1042941</v>
      </c>
      <c r="K456" s="10">
        <f t="shared" si="106"/>
        <v>130000</v>
      </c>
      <c r="L456" s="10">
        <f t="shared" si="106"/>
        <v>0</v>
      </c>
      <c r="M456" s="10">
        <f t="shared" si="106"/>
        <v>0</v>
      </c>
      <c r="N456" s="10">
        <f t="shared" si="106"/>
        <v>912941</v>
      </c>
      <c r="O456" s="10">
        <f t="shared" si="106"/>
        <v>912941</v>
      </c>
      <c r="P456" s="10">
        <f t="shared" si="104"/>
        <v>27121347</v>
      </c>
    </row>
    <row r="457" spans="1:16" ht="13.5" hidden="1" thickBot="1">
      <c r="A457" s="6" t="s">
        <v>128</v>
      </c>
      <c r="B457" s="6">
        <v>1010</v>
      </c>
      <c r="C457" s="39" t="s">
        <v>129</v>
      </c>
      <c r="D457" s="44" t="s">
        <v>132</v>
      </c>
      <c r="E457" s="42">
        <f>F457+I457</f>
        <v>2653120</v>
      </c>
      <c r="F457" s="21">
        <f>2373120+350000-70000</f>
        <v>2653120</v>
      </c>
      <c r="G457" s="21">
        <v>1508373</v>
      </c>
      <c r="H457" s="21">
        <v>348146</v>
      </c>
      <c r="I457" s="21"/>
      <c r="J457" s="15">
        <f>K457+N457</f>
        <v>810000</v>
      </c>
      <c r="K457" s="21">
        <v>50000</v>
      </c>
      <c r="L457" s="21"/>
      <c r="M457" s="21"/>
      <c r="N457" s="21">
        <f>40000+50000+70000+600000</f>
        <v>760000</v>
      </c>
      <c r="O457" s="21">
        <f>40000+50000+70000+600000</f>
        <v>760000</v>
      </c>
      <c r="P457" s="15">
        <f t="shared" si="104"/>
        <v>3463120</v>
      </c>
    </row>
    <row r="458" spans="1:16" ht="63.75" hidden="1">
      <c r="A458" s="6" t="s">
        <v>130</v>
      </c>
      <c r="B458" s="6">
        <v>1020</v>
      </c>
      <c r="C458" s="39" t="s">
        <v>28</v>
      </c>
      <c r="D458" s="45" t="s">
        <v>131</v>
      </c>
      <c r="E458" s="42">
        <f>F458+I458</f>
        <v>22875286</v>
      </c>
      <c r="F458" s="14">
        <f>20102058+2053228+720000</f>
        <v>22875286</v>
      </c>
      <c r="G458" s="14">
        <f>11732223+1446087</f>
        <v>13178310</v>
      </c>
      <c r="H458" s="14">
        <v>3725096</v>
      </c>
      <c r="I458" s="14">
        <v>0</v>
      </c>
      <c r="J458" s="15">
        <f>K458+N458</f>
        <v>232941</v>
      </c>
      <c r="K458" s="14">
        <v>80000</v>
      </c>
      <c r="L458" s="14">
        <v>0</v>
      </c>
      <c r="M458" s="14">
        <v>0</v>
      </c>
      <c r="N458" s="14">
        <f>25000+127941</f>
        <v>152941</v>
      </c>
      <c r="O458" s="14">
        <f>25000+127941</f>
        <v>152941</v>
      </c>
      <c r="P458" s="15">
        <f t="shared" si="104"/>
        <v>23108227</v>
      </c>
    </row>
    <row r="459" spans="1:16" ht="25.5" hidden="1">
      <c r="A459" s="6"/>
      <c r="B459" s="6"/>
      <c r="C459" s="39"/>
      <c r="D459" s="46" t="s">
        <v>133</v>
      </c>
      <c r="E459" s="42">
        <f>F459+I459</f>
        <v>13801200</v>
      </c>
      <c r="F459" s="14">
        <v>13801200</v>
      </c>
      <c r="G459" s="14">
        <v>11312500</v>
      </c>
      <c r="H459" s="14"/>
      <c r="I459" s="14"/>
      <c r="J459" s="15">
        <f>K459+N459</f>
        <v>0</v>
      </c>
      <c r="K459" s="14"/>
      <c r="L459" s="14"/>
      <c r="M459" s="14"/>
      <c r="N459" s="14"/>
      <c r="O459" s="14"/>
      <c r="P459" s="15">
        <f t="shared" si="104"/>
        <v>13801200</v>
      </c>
    </row>
    <row r="460" spans="1:16" ht="13.5" hidden="1" thickBot="1">
      <c r="A460" s="6" t="s">
        <v>130</v>
      </c>
      <c r="B460" s="6">
        <v>1020</v>
      </c>
      <c r="C460" s="39" t="s">
        <v>28</v>
      </c>
      <c r="D460" s="45" t="s">
        <v>134</v>
      </c>
      <c r="E460" s="42">
        <f>F460+I460</f>
        <v>5607350</v>
      </c>
      <c r="F460" s="14">
        <v>5607350</v>
      </c>
      <c r="G460" s="14">
        <v>3183898</v>
      </c>
      <c r="H460" s="14">
        <v>770788</v>
      </c>
      <c r="I460" s="14"/>
      <c r="J460" s="15">
        <f>K460+N460</f>
        <v>105000</v>
      </c>
      <c r="K460" s="14">
        <v>80000</v>
      </c>
      <c r="L460" s="14"/>
      <c r="M460" s="14"/>
      <c r="N460" s="14">
        <v>25000</v>
      </c>
      <c r="O460" s="14">
        <v>25000</v>
      </c>
      <c r="P460" s="15">
        <f t="shared" si="104"/>
        <v>5712350</v>
      </c>
    </row>
    <row r="461" spans="1:16" ht="13.5" hidden="1" thickBot="1">
      <c r="A461" s="6" t="s">
        <v>135</v>
      </c>
      <c r="B461" s="6">
        <v>1162</v>
      </c>
      <c r="C461" s="39" t="s">
        <v>31</v>
      </c>
      <c r="D461" s="50" t="s">
        <v>136</v>
      </c>
      <c r="E461" s="42">
        <f>F461+I461</f>
        <v>550000</v>
      </c>
      <c r="F461" s="14">
        <v>550000</v>
      </c>
      <c r="G461" s="14">
        <v>0</v>
      </c>
      <c r="H461" s="14">
        <v>0</v>
      </c>
      <c r="I461" s="14">
        <v>0</v>
      </c>
      <c r="J461" s="15">
        <f>K461+N461</f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5">
        <f t="shared" si="104"/>
        <v>550000</v>
      </c>
    </row>
    <row r="462" spans="1:16" hidden="1">
      <c r="A462" s="7"/>
      <c r="B462" s="6" t="s">
        <v>34</v>
      </c>
      <c r="C462" s="38"/>
      <c r="D462" s="45" t="s">
        <v>35</v>
      </c>
      <c r="E462" s="41">
        <f t="shared" ref="E462:O462" si="107">E463+E464</f>
        <v>1566000</v>
      </c>
      <c r="F462" s="11">
        <f t="shared" si="107"/>
        <v>1566000</v>
      </c>
      <c r="G462" s="11">
        <f t="shared" si="107"/>
        <v>40984</v>
      </c>
      <c r="H462" s="11">
        <f t="shared" si="107"/>
        <v>0</v>
      </c>
      <c r="I462" s="11">
        <f t="shared" si="107"/>
        <v>0</v>
      </c>
      <c r="J462" s="23">
        <f t="shared" si="107"/>
        <v>0</v>
      </c>
      <c r="K462" s="11">
        <f t="shared" si="107"/>
        <v>0</v>
      </c>
      <c r="L462" s="11">
        <f t="shared" si="107"/>
        <v>0</v>
      </c>
      <c r="M462" s="11">
        <f t="shared" si="107"/>
        <v>0</v>
      </c>
      <c r="N462" s="11">
        <f t="shared" si="107"/>
        <v>0</v>
      </c>
      <c r="O462" s="11">
        <f t="shared" si="107"/>
        <v>0</v>
      </c>
      <c r="P462" s="10">
        <f t="shared" si="104"/>
        <v>1566000</v>
      </c>
    </row>
    <row r="463" spans="1:16" ht="13.5" hidden="1" thickBot="1">
      <c r="A463" s="6" t="s">
        <v>185</v>
      </c>
      <c r="B463" s="20">
        <v>3210</v>
      </c>
      <c r="C463" s="40">
        <v>1090</v>
      </c>
      <c r="D463" s="46" t="s">
        <v>106</v>
      </c>
      <c r="E463" s="43">
        <f>F463+I463</f>
        <v>50000</v>
      </c>
      <c r="F463" s="21">
        <v>50000</v>
      </c>
      <c r="G463" s="21">
        <v>40984</v>
      </c>
      <c r="H463" s="21">
        <v>0</v>
      </c>
      <c r="I463" s="21">
        <v>0</v>
      </c>
      <c r="J463" s="22">
        <f>K463+N463</f>
        <v>0</v>
      </c>
      <c r="K463" s="11"/>
      <c r="L463" s="11"/>
      <c r="M463" s="11"/>
      <c r="N463" s="11"/>
      <c r="O463" s="11"/>
      <c r="P463" s="15">
        <f t="shared" si="104"/>
        <v>50000</v>
      </c>
    </row>
    <row r="464" spans="1:16" ht="26.25" hidden="1" thickBot="1">
      <c r="A464" s="6" t="s">
        <v>139</v>
      </c>
      <c r="B464" s="6">
        <v>3242</v>
      </c>
      <c r="C464" s="40" t="s">
        <v>36</v>
      </c>
      <c r="D464" s="51" t="s">
        <v>137</v>
      </c>
      <c r="E464" s="42">
        <f>F464+I464</f>
        <v>1516000</v>
      </c>
      <c r="F464" s="14">
        <f>1501000+15000</f>
        <v>1516000</v>
      </c>
      <c r="G464" s="14">
        <v>0</v>
      </c>
      <c r="H464" s="14">
        <v>0</v>
      </c>
      <c r="I464" s="14">
        <v>0</v>
      </c>
      <c r="J464" s="15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5">
        <f t="shared" si="104"/>
        <v>1516000</v>
      </c>
    </row>
    <row r="465" spans="1:16" ht="13.5" hidden="1" thickBot="1">
      <c r="A465" s="7"/>
      <c r="B465" s="6" t="s">
        <v>39</v>
      </c>
      <c r="C465" s="38"/>
      <c r="D465" s="45" t="s">
        <v>40</v>
      </c>
      <c r="E465" s="41">
        <f t="shared" ref="E465:O465" si="108">E466+E467+E469+E468</f>
        <v>7559508</v>
      </c>
      <c r="F465" s="10">
        <f t="shared" si="108"/>
        <v>7559508</v>
      </c>
      <c r="G465" s="10">
        <f t="shared" si="108"/>
        <v>4526954</v>
      </c>
      <c r="H465" s="10">
        <f t="shared" si="108"/>
        <v>883020</v>
      </c>
      <c r="I465" s="10">
        <f t="shared" si="108"/>
        <v>0</v>
      </c>
      <c r="J465" s="10">
        <f t="shared" si="108"/>
        <v>580000</v>
      </c>
      <c r="K465" s="10">
        <f t="shared" si="108"/>
        <v>5000</v>
      </c>
      <c r="L465" s="10">
        <f t="shared" si="108"/>
        <v>0</v>
      </c>
      <c r="M465" s="10">
        <f t="shared" si="108"/>
        <v>0</v>
      </c>
      <c r="N465" s="10">
        <f t="shared" si="108"/>
        <v>575000</v>
      </c>
      <c r="O465" s="10">
        <f t="shared" si="108"/>
        <v>575000</v>
      </c>
      <c r="P465" s="10">
        <f t="shared" si="104"/>
        <v>8139508</v>
      </c>
    </row>
    <row r="466" spans="1:16" ht="13.5" hidden="1" thickBot="1">
      <c r="A466" s="6" t="s">
        <v>140</v>
      </c>
      <c r="B466" s="12">
        <v>4030</v>
      </c>
      <c r="C466" s="40" t="s">
        <v>41</v>
      </c>
      <c r="D466" s="52" t="s">
        <v>138</v>
      </c>
      <c r="E466" s="42">
        <f>F466+I466</f>
        <v>515120</v>
      </c>
      <c r="F466" s="14">
        <v>515120</v>
      </c>
      <c r="G466" s="14">
        <v>413048</v>
      </c>
      <c r="H466" s="14">
        <v>0</v>
      </c>
      <c r="I466" s="14">
        <v>0</v>
      </c>
      <c r="J466" s="15">
        <f>K466+N466</f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f t="shared" si="104"/>
        <v>515120</v>
      </c>
    </row>
    <row r="467" spans="1:16" ht="39" hidden="1" thickBot="1">
      <c r="A467" s="6" t="s">
        <v>141</v>
      </c>
      <c r="B467" s="12">
        <v>4060</v>
      </c>
      <c r="C467" s="40" t="s">
        <v>44</v>
      </c>
      <c r="D467" s="52" t="s">
        <v>142</v>
      </c>
      <c r="E467" s="42">
        <f>F467+I467</f>
        <v>5280366</v>
      </c>
      <c r="F467" s="14">
        <v>5280366</v>
      </c>
      <c r="G467" s="14">
        <v>2762167</v>
      </c>
      <c r="H467" s="14">
        <v>836520</v>
      </c>
      <c r="I467" s="14">
        <v>0</v>
      </c>
      <c r="J467" s="15">
        <f>K467+N467</f>
        <v>580000</v>
      </c>
      <c r="K467" s="14">
        <v>5000</v>
      </c>
      <c r="L467" s="14">
        <v>0</v>
      </c>
      <c r="M467" s="14">
        <v>0</v>
      </c>
      <c r="N467" s="14">
        <f>1175000-600000</f>
        <v>575000</v>
      </c>
      <c r="O467" s="14">
        <f>1175000-600000</f>
        <v>575000</v>
      </c>
      <c r="P467" s="15">
        <f t="shared" si="104"/>
        <v>5860366</v>
      </c>
    </row>
    <row r="468" spans="1:16" ht="13.5" hidden="1" thickBot="1">
      <c r="A468" s="6" t="s">
        <v>180</v>
      </c>
      <c r="B468" s="12">
        <v>4082</v>
      </c>
      <c r="C468" s="40" t="s">
        <v>144</v>
      </c>
      <c r="D468" s="51" t="s">
        <v>179</v>
      </c>
      <c r="E468" s="42">
        <f>F468+I468</f>
        <v>50000</v>
      </c>
      <c r="F468" s="14">
        <v>50000</v>
      </c>
      <c r="G468" s="14">
        <v>0</v>
      </c>
      <c r="H468" s="14">
        <v>0</v>
      </c>
      <c r="I468" s="14">
        <v>0</v>
      </c>
      <c r="J468" s="15">
        <f>K468+N468</f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5">
        <f t="shared" si="104"/>
        <v>50000</v>
      </c>
    </row>
    <row r="469" spans="1:16" ht="51.75" hidden="1" thickBot="1">
      <c r="A469" s="6" t="s">
        <v>143</v>
      </c>
      <c r="B469" s="12">
        <v>1100</v>
      </c>
      <c r="C469" s="40" t="s">
        <v>184</v>
      </c>
      <c r="D469" s="53" t="s">
        <v>145</v>
      </c>
      <c r="E469" s="42">
        <f>F469+I469</f>
        <v>1714022</v>
      </c>
      <c r="F469" s="14">
        <v>1714022</v>
      </c>
      <c r="G469" s="14">
        <v>1351739</v>
      </c>
      <c r="H469" s="14">
        <v>46500</v>
      </c>
      <c r="I469" s="14">
        <v>0</v>
      </c>
      <c r="J469" s="15">
        <f>K469+N469</f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5">
        <f t="shared" si="104"/>
        <v>1714022</v>
      </c>
    </row>
    <row r="470" spans="1:16" hidden="1">
      <c r="A470" s="7"/>
      <c r="B470" s="6" t="s">
        <v>47</v>
      </c>
      <c r="C470" s="38"/>
      <c r="D470" s="45" t="s">
        <v>48</v>
      </c>
      <c r="E470" s="41">
        <f t="shared" ref="E470:O470" si="109">E471</f>
        <v>2700000</v>
      </c>
      <c r="F470" s="11">
        <f t="shared" si="109"/>
        <v>2700000</v>
      </c>
      <c r="G470" s="11">
        <f t="shared" si="109"/>
        <v>0</v>
      </c>
      <c r="H470" s="11">
        <f t="shared" si="109"/>
        <v>0</v>
      </c>
      <c r="I470" s="11">
        <f t="shared" si="109"/>
        <v>0</v>
      </c>
      <c r="J470" s="10">
        <f t="shared" si="109"/>
        <v>517250</v>
      </c>
      <c r="K470" s="11">
        <f t="shared" si="109"/>
        <v>0</v>
      </c>
      <c r="L470" s="11">
        <f t="shared" si="109"/>
        <v>0</v>
      </c>
      <c r="M470" s="11">
        <f t="shared" si="109"/>
        <v>0</v>
      </c>
      <c r="N470" s="11">
        <f t="shared" si="109"/>
        <v>517250</v>
      </c>
      <c r="O470" s="11">
        <f t="shared" si="109"/>
        <v>517250</v>
      </c>
      <c r="P470" s="10">
        <f t="shared" si="104"/>
        <v>3217250</v>
      </c>
    </row>
    <row r="471" spans="1:16" ht="38.25" hidden="1">
      <c r="A471" s="6" t="s">
        <v>146</v>
      </c>
      <c r="B471" s="12">
        <v>5032</v>
      </c>
      <c r="C471" s="40" t="s">
        <v>49</v>
      </c>
      <c r="D471" s="46" t="s">
        <v>51</v>
      </c>
      <c r="E471" s="42">
        <f>F471+I471</f>
        <v>2700000</v>
      </c>
      <c r="F471" s="14">
        <v>2700000</v>
      </c>
      <c r="G471" s="14">
        <v>0</v>
      </c>
      <c r="H471" s="14">
        <v>0</v>
      </c>
      <c r="I471" s="14">
        <v>0</v>
      </c>
      <c r="J471" s="15">
        <f>K471+N471</f>
        <v>517250</v>
      </c>
      <c r="K471" s="14">
        <v>0</v>
      </c>
      <c r="L471" s="14">
        <v>0</v>
      </c>
      <c r="M471" s="14">
        <v>0</v>
      </c>
      <c r="N471" s="14">
        <v>517250</v>
      </c>
      <c r="O471" s="14">
        <v>517250</v>
      </c>
      <c r="P471" s="15">
        <f t="shared" si="104"/>
        <v>3217250</v>
      </c>
    </row>
    <row r="472" spans="1:16" hidden="1">
      <c r="A472" s="57"/>
      <c r="B472" s="12"/>
      <c r="C472" s="40"/>
      <c r="D472" s="45" t="s">
        <v>107</v>
      </c>
      <c r="E472" s="42">
        <f>F472+I472</f>
        <v>2700000</v>
      </c>
      <c r="F472" s="14">
        <v>2700000</v>
      </c>
      <c r="G472" s="14">
        <v>0</v>
      </c>
      <c r="H472" s="14">
        <v>0</v>
      </c>
      <c r="I472" s="14">
        <v>0</v>
      </c>
      <c r="J472" s="15">
        <f>K472+N472</f>
        <v>517250</v>
      </c>
      <c r="K472" s="14">
        <v>0</v>
      </c>
      <c r="L472" s="14">
        <v>0</v>
      </c>
      <c r="M472" s="14">
        <v>0</v>
      </c>
      <c r="N472" s="14">
        <v>517250</v>
      </c>
      <c r="O472" s="14">
        <v>517250</v>
      </c>
      <c r="P472" s="15">
        <f t="shared" si="104"/>
        <v>3217250</v>
      </c>
    </row>
    <row r="473" spans="1:16" ht="13.5" hidden="1" thickBot="1">
      <c r="A473" s="7"/>
      <c r="B473" s="6" t="s">
        <v>52</v>
      </c>
      <c r="C473" s="38"/>
      <c r="D473" s="45" t="s">
        <v>53</v>
      </c>
      <c r="E473" s="41">
        <f>E476+E478+E474</f>
        <v>8829530</v>
      </c>
      <c r="F473" s="11">
        <f>F476+F478+F474</f>
        <v>8829530</v>
      </c>
      <c r="G473" s="11">
        <f>G476+G478+G474</f>
        <v>0</v>
      </c>
      <c r="H473" s="11">
        <f>H476+H478+H474</f>
        <v>0</v>
      </c>
      <c r="I473" s="11">
        <f>I476+I478+I474</f>
        <v>0</v>
      </c>
      <c r="J473" s="10">
        <f t="shared" ref="J473:O473" si="110">J476+J478</f>
        <v>8287447</v>
      </c>
      <c r="K473" s="11">
        <f t="shared" si="110"/>
        <v>0</v>
      </c>
      <c r="L473" s="11">
        <f t="shared" si="110"/>
        <v>0</v>
      </c>
      <c r="M473" s="11">
        <f t="shared" si="110"/>
        <v>0</v>
      </c>
      <c r="N473" s="11">
        <f t="shared" si="110"/>
        <v>8287447</v>
      </c>
      <c r="O473" s="11">
        <f t="shared" si="110"/>
        <v>8287447</v>
      </c>
      <c r="P473" s="10">
        <f t="shared" si="104"/>
        <v>17116977</v>
      </c>
    </row>
    <row r="474" spans="1:16" ht="51.75" hidden="1" thickBot="1">
      <c r="A474" s="6" t="s">
        <v>147</v>
      </c>
      <c r="B474" s="20">
        <v>6020</v>
      </c>
      <c r="C474" s="40" t="s">
        <v>54</v>
      </c>
      <c r="D474" s="53" t="s">
        <v>148</v>
      </c>
      <c r="E474" s="41">
        <f>F474+I474</f>
        <v>1230000</v>
      </c>
      <c r="F474" s="11">
        <v>1230000</v>
      </c>
      <c r="G474" s="11">
        <v>0</v>
      </c>
      <c r="H474" s="11">
        <v>0</v>
      </c>
      <c r="I474" s="21">
        <v>0</v>
      </c>
      <c r="J474" s="10">
        <f>K474+N474</f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5">
        <f t="shared" si="104"/>
        <v>1230000</v>
      </c>
    </row>
    <row r="475" spans="1:16" ht="13.5" hidden="1" thickBot="1">
      <c r="A475" s="7"/>
      <c r="B475" s="20"/>
      <c r="C475" s="40"/>
      <c r="D475" s="45" t="s">
        <v>109</v>
      </c>
      <c r="E475" s="41">
        <f>F475+I475</f>
        <v>1230000</v>
      </c>
      <c r="F475" s="11">
        <v>1230000</v>
      </c>
      <c r="G475" s="11">
        <v>0</v>
      </c>
      <c r="H475" s="11">
        <v>0</v>
      </c>
      <c r="I475" s="21">
        <v>0</v>
      </c>
      <c r="J475" s="10">
        <f>K475+N475</f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5">
        <f t="shared" si="104"/>
        <v>1230000</v>
      </c>
    </row>
    <row r="476" spans="1:16" ht="26.25" hidden="1" thickBot="1">
      <c r="A476" s="6" t="s">
        <v>149</v>
      </c>
      <c r="B476" s="20">
        <v>6013</v>
      </c>
      <c r="C476" s="40" t="s">
        <v>54</v>
      </c>
      <c r="D476" s="54" t="s">
        <v>150</v>
      </c>
      <c r="E476" s="41">
        <f>F476+I476</f>
        <v>366000</v>
      </c>
      <c r="F476" s="21">
        <v>366000</v>
      </c>
      <c r="G476" s="21">
        <v>0</v>
      </c>
      <c r="H476" s="21">
        <v>0</v>
      </c>
      <c r="I476" s="21"/>
      <c r="J476" s="10">
        <f>K476+N476</f>
        <v>2486000</v>
      </c>
      <c r="K476" s="21">
        <v>0</v>
      </c>
      <c r="L476" s="21">
        <v>0</v>
      </c>
      <c r="M476" s="21">
        <v>0</v>
      </c>
      <c r="N476" s="21">
        <v>2486000</v>
      </c>
      <c r="O476" s="21">
        <v>2486000</v>
      </c>
      <c r="P476" s="15">
        <f t="shared" si="104"/>
        <v>2852000</v>
      </c>
    </row>
    <row r="477" spans="1:16" ht="13.5" hidden="1" thickBot="1">
      <c r="A477" s="7"/>
      <c r="B477" s="20"/>
      <c r="C477" s="40"/>
      <c r="D477" s="45" t="s">
        <v>109</v>
      </c>
      <c r="E477" s="41">
        <f>F477+I477</f>
        <v>366000</v>
      </c>
      <c r="F477" s="21">
        <v>366000</v>
      </c>
      <c r="G477" s="21">
        <v>0</v>
      </c>
      <c r="H477" s="21">
        <v>0</v>
      </c>
      <c r="I477" s="21"/>
      <c r="J477" s="10">
        <f>K477+N477</f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15">
        <f t="shared" si="104"/>
        <v>366000</v>
      </c>
    </row>
    <row r="478" spans="1:16" ht="13.5" hidden="1" thickBot="1">
      <c r="A478" s="6" t="s">
        <v>151</v>
      </c>
      <c r="B478" s="12">
        <v>6030</v>
      </c>
      <c r="C478" s="40" t="s">
        <v>54</v>
      </c>
      <c r="D478" s="53" t="s">
        <v>152</v>
      </c>
      <c r="E478" s="42">
        <f>F478+I478</f>
        <v>7233530</v>
      </c>
      <c r="F478" s="14">
        <f>6033530+1200000</f>
        <v>7233530</v>
      </c>
      <c r="G478" s="14">
        <v>0</v>
      </c>
      <c r="H478" s="14">
        <v>0</v>
      </c>
      <c r="I478" s="14">
        <v>0</v>
      </c>
      <c r="J478" s="15">
        <f>K478+N478</f>
        <v>5801447</v>
      </c>
      <c r="K478" s="14">
        <v>0</v>
      </c>
      <c r="L478" s="14">
        <v>0</v>
      </c>
      <c r="M478" s="14">
        <v>0</v>
      </c>
      <c r="N478" s="14">
        <f>2176447+3625000</f>
        <v>5801447</v>
      </c>
      <c r="O478" s="14">
        <f>2176447+3625000</f>
        <v>5801447</v>
      </c>
      <c r="P478" s="15">
        <f t="shared" si="104"/>
        <v>13034977</v>
      </c>
    </row>
    <row r="479" spans="1:16" ht="13.5" hidden="1" thickBot="1">
      <c r="A479" s="7"/>
      <c r="B479" s="6">
        <v>7300</v>
      </c>
      <c r="C479" s="38"/>
      <c r="D479" s="44" t="s">
        <v>153</v>
      </c>
      <c r="E479" s="41">
        <f>E480</f>
        <v>0</v>
      </c>
      <c r="F479" s="11">
        <f>F480</f>
        <v>0</v>
      </c>
      <c r="G479" s="11">
        <f>G480</f>
        <v>0</v>
      </c>
      <c r="H479" s="11">
        <f>H480</f>
        <v>0</v>
      </c>
      <c r="I479" s="11">
        <f>I480</f>
        <v>0</v>
      </c>
      <c r="J479" s="10">
        <f t="shared" ref="J479:O479" si="111">J480+J481</f>
        <v>5300000</v>
      </c>
      <c r="K479" s="32">
        <f t="shared" si="111"/>
        <v>0</v>
      </c>
      <c r="L479" s="32">
        <f t="shared" si="111"/>
        <v>0</v>
      </c>
      <c r="M479" s="32">
        <f t="shared" si="111"/>
        <v>0</v>
      </c>
      <c r="N479" s="32">
        <f t="shared" si="111"/>
        <v>5300000</v>
      </c>
      <c r="O479" s="32">
        <f t="shared" si="111"/>
        <v>5300000</v>
      </c>
      <c r="P479" s="10">
        <f t="shared" si="104"/>
        <v>5300000</v>
      </c>
    </row>
    <row r="480" spans="1:16" ht="39" hidden="1" thickBot="1">
      <c r="A480" s="6" t="s">
        <v>187</v>
      </c>
      <c r="B480" s="12">
        <v>7363</v>
      </c>
      <c r="C480" s="40" t="s">
        <v>155</v>
      </c>
      <c r="D480" s="51" t="s">
        <v>156</v>
      </c>
      <c r="E480" s="42">
        <f>F480+I480</f>
        <v>0</v>
      </c>
      <c r="F480" s="14">
        <v>0</v>
      </c>
      <c r="G480" s="14">
        <v>0</v>
      </c>
      <c r="H480" s="14">
        <v>0</v>
      </c>
      <c r="I480" s="14">
        <v>0</v>
      </c>
      <c r="J480" s="15">
        <f>K480+N480</f>
        <v>5300000</v>
      </c>
      <c r="K480" s="14">
        <v>0</v>
      </c>
      <c r="L480" s="14">
        <v>0</v>
      </c>
      <c r="M480" s="14">
        <v>0</v>
      </c>
      <c r="N480" s="14">
        <f>2300000+3000000</f>
        <v>5300000</v>
      </c>
      <c r="O480" s="14">
        <f>2300000+3000000</f>
        <v>5300000</v>
      </c>
      <c r="P480" s="15">
        <f t="shared" si="104"/>
        <v>5300000</v>
      </c>
    </row>
    <row r="481" spans="1:16" ht="39" hidden="1" thickBot="1">
      <c r="A481" s="57"/>
      <c r="B481" s="12">
        <v>6370</v>
      </c>
      <c r="C481" s="40" t="s">
        <v>121</v>
      </c>
      <c r="D481" s="47" t="s">
        <v>122</v>
      </c>
      <c r="E481" s="42">
        <v>0</v>
      </c>
      <c r="F481" s="14">
        <v>0</v>
      </c>
      <c r="G481" s="14">
        <v>0</v>
      </c>
      <c r="H481" s="14">
        <v>0</v>
      </c>
      <c r="I481" s="14">
        <v>0</v>
      </c>
      <c r="J481" s="15">
        <f>K481+N481</f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5">
        <f t="shared" si="104"/>
        <v>0</v>
      </c>
    </row>
    <row r="482" spans="1:16" ht="26.25" hidden="1" thickBot="1">
      <c r="A482" s="7"/>
      <c r="B482" s="6">
        <v>7400</v>
      </c>
      <c r="C482" s="38"/>
      <c r="D482" s="44" t="s">
        <v>157</v>
      </c>
      <c r="E482" s="41">
        <f t="shared" ref="E482:O482" si="112">E483</f>
        <v>1460000</v>
      </c>
      <c r="F482" s="11">
        <f t="shared" si="112"/>
        <v>1460000</v>
      </c>
      <c r="G482" s="11">
        <f t="shared" si="112"/>
        <v>0</v>
      </c>
      <c r="H482" s="11">
        <f t="shared" si="112"/>
        <v>0</v>
      </c>
      <c r="I482" s="11">
        <f t="shared" si="112"/>
        <v>0</v>
      </c>
      <c r="J482" s="10">
        <f t="shared" si="112"/>
        <v>2525000</v>
      </c>
      <c r="K482" s="11">
        <f t="shared" si="112"/>
        <v>0</v>
      </c>
      <c r="L482" s="11">
        <f t="shared" si="112"/>
        <v>0</v>
      </c>
      <c r="M482" s="11">
        <f t="shared" si="112"/>
        <v>0</v>
      </c>
      <c r="N482" s="11">
        <f t="shared" si="112"/>
        <v>2525000</v>
      </c>
      <c r="O482" s="11">
        <f t="shared" si="112"/>
        <v>2525000</v>
      </c>
      <c r="P482" s="10">
        <f t="shared" si="104"/>
        <v>3985000</v>
      </c>
    </row>
    <row r="483" spans="1:16" ht="26.25" hidden="1" thickBot="1">
      <c r="A483" s="6" t="s">
        <v>186</v>
      </c>
      <c r="B483" s="12">
        <v>7442</v>
      </c>
      <c r="C483" s="40" t="s">
        <v>64</v>
      </c>
      <c r="D483" s="53" t="s">
        <v>159</v>
      </c>
      <c r="E483" s="42">
        <f>F483+I483</f>
        <v>1460000</v>
      </c>
      <c r="F483" s="14">
        <f>1000000+500000-40000</f>
        <v>1460000</v>
      </c>
      <c r="G483" s="14">
        <v>0</v>
      </c>
      <c r="H483" s="14">
        <v>0</v>
      </c>
      <c r="I483" s="14">
        <v>0</v>
      </c>
      <c r="J483" s="15">
        <f>K483+N483</f>
        <v>2525000</v>
      </c>
      <c r="K483" s="14">
        <v>0</v>
      </c>
      <c r="L483" s="14">
        <v>0</v>
      </c>
      <c r="M483" s="14">
        <v>0</v>
      </c>
      <c r="N483" s="14">
        <f>2500000+25000</f>
        <v>2525000</v>
      </c>
      <c r="O483" s="14">
        <f>2500000+25000</f>
        <v>2525000</v>
      </c>
      <c r="P483" s="15">
        <f t="shared" si="104"/>
        <v>3985000</v>
      </c>
    </row>
    <row r="484" spans="1:16" ht="13.5" hidden="1" thickBot="1">
      <c r="A484" s="57"/>
      <c r="B484" s="12"/>
      <c r="C484" s="40"/>
      <c r="D484" s="45" t="s">
        <v>110</v>
      </c>
      <c r="E484" s="42">
        <f>F484+I484</f>
        <v>0</v>
      </c>
      <c r="F484" s="14">
        <v>0</v>
      </c>
      <c r="G484" s="14">
        <v>0</v>
      </c>
      <c r="H484" s="14">
        <v>0</v>
      </c>
      <c r="I484" s="14">
        <v>0</v>
      </c>
      <c r="J484" s="15">
        <f>K484+N484</f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5">
        <f t="shared" si="104"/>
        <v>0</v>
      </c>
    </row>
    <row r="485" spans="1:16" ht="13.5" hidden="1" thickBot="1">
      <c r="A485" s="7"/>
      <c r="B485" s="6">
        <v>8400</v>
      </c>
      <c r="C485" s="38"/>
      <c r="D485" s="44" t="s">
        <v>68</v>
      </c>
      <c r="E485" s="41">
        <f t="shared" ref="E485:O485" si="113">E486</f>
        <v>156552</v>
      </c>
      <c r="F485" s="11">
        <f t="shared" si="113"/>
        <v>156552</v>
      </c>
      <c r="G485" s="11">
        <f t="shared" si="113"/>
        <v>0</v>
      </c>
      <c r="H485" s="11">
        <f t="shared" si="113"/>
        <v>0</v>
      </c>
      <c r="I485" s="11">
        <f t="shared" si="113"/>
        <v>0</v>
      </c>
      <c r="J485" s="10">
        <f t="shared" si="113"/>
        <v>0</v>
      </c>
      <c r="K485" s="11">
        <f t="shared" si="113"/>
        <v>0</v>
      </c>
      <c r="L485" s="11">
        <f t="shared" si="113"/>
        <v>0</v>
      </c>
      <c r="M485" s="11">
        <f t="shared" si="113"/>
        <v>0</v>
      </c>
      <c r="N485" s="11">
        <f t="shared" si="113"/>
        <v>0</v>
      </c>
      <c r="O485" s="11">
        <f t="shared" si="113"/>
        <v>0</v>
      </c>
      <c r="P485" s="10">
        <f t="shared" si="104"/>
        <v>156552</v>
      </c>
    </row>
    <row r="486" spans="1:16" ht="13.5" hidden="1" thickBot="1">
      <c r="A486" s="6" t="s">
        <v>160</v>
      </c>
      <c r="B486" s="12">
        <v>8410</v>
      </c>
      <c r="C486" s="40" t="s">
        <v>69</v>
      </c>
      <c r="D486" s="55" t="s">
        <v>161</v>
      </c>
      <c r="E486" s="42">
        <f>F486+I486</f>
        <v>156552</v>
      </c>
      <c r="F486" s="14">
        <v>156552</v>
      </c>
      <c r="G486" s="14">
        <v>0</v>
      </c>
      <c r="H486" s="14">
        <v>0</v>
      </c>
      <c r="I486" s="14">
        <v>0</v>
      </c>
      <c r="J486" s="15">
        <f>K486+N486</f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f t="shared" si="104"/>
        <v>156552</v>
      </c>
    </row>
    <row r="487" spans="1:16" ht="13.5" hidden="1" thickBot="1">
      <c r="A487" s="57"/>
      <c r="B487" s="12"/>
      <c r="C487" s="40"/>
      <c r="D487" s="45" t="s">
        <v>111</v>
      </c>
      <c r="E487" s="42">
        <f>F487+I487</f>
        <v>156552</v>
      </c>
      <c r="F487" s="14">
        <v>156552</v>
      </c>
      <c r="G487" s="14">
        <v>0</v>
      </c>
      <c r="H487" s="14">
        <v>0</v>
      </c>
      <c r="I487" s="14">
        <v>0</v>
      </c>
      <c r="J487" s="15">
        <f>K487+N487</f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5">
        <f t="shared" si="104"/>
        <v>156552</v>
      </c>
    </row>
    <row r="488" spans="1:16" ht="26.25" hidden="1" thickBot="1">
      <c r="A488" s="7"/>
      <c r="B488" s="6">
        <v>7100</v>
      </c>
      <c r="C488" s="38"/>
      <c r="D488" s="44" t="s">
        <v>162</v>
      </c>
      <c r="E488" s="41">
        <f t="shared" ref="E488:O488" si="114">E489</f>
        <v>150000</v>
      </c>
      <c r="F488" s="11">
        <f t="shared" si="114"/>
        <v>150000</v>
      </c>
      <c r="G488" s="11">
        <f t="shared" si="114"/>
        <v>0</v>
      </c>
      <c r="H488" s="11">
        <f t="shared" si="114"/>
        <v>0</v>
      </c>
      <c r="I488" s="11">
        <f t="shared" si="114"/>
        <v>0</v>
      </c>
      <c r="J488" s="10">
        <f t="shared" si="114"/>
        <v>150000</v>
      </c>
      <c r="K488" s="11">
        <f t="shared" si="114"/>
        <v>0</v>
      </c>
      <c r="L488" s="11">
        <f t="shared" si="114"/>
        <v>0</v>
      </c>
      <c r="M488" s="11">
        <f t="shared" si="114"/>
        <v>0</v>
      </c>
      <c r="N488" s="11">
        <f t="shared" si="114"/>
        <v>150000</v>
      </c>
      <c r="O488" s="11">
        <f t="shared" si="114"/>
        <v>150000</v>
      </c>
      <c r="P488" s="10">
        <f t="shared" si="104"/>
        <v>300000</v>
      </c>
    </row>
    <row r="489" spans="1:16" ht="13.5" hidden="1" thickBot="1">
      <c r="A489" s="6" t="s">
        <v>163</v>
      </c>
      <c r="B489" s="12">
        <v>7130</v>
      </c>
      <c r="C489" s="40" t="s">
        <v>74</v>
      </c>
      <c r="D489" s="53" t="s">
        <v>164</v>
      </c>
      <c r="E489" s="42">
        <f>F489+I489</f>
        <v>150000</v>
      </c>
      <c r="F489" s="14">
        <f>100000+50000</f>
        <v>150000</v>
      </c>
      <c r="G489" s="14">
        <v>0</v>
      </c>
      <c r="H489" s="14">
        <v>0</v>
      </c>
      <c r="I489" s="14">
        <v>0</v>
      </c>
      <c r="J489" s="15">
        <f>K489+N489</f>
        <v>150000</v>
      </c>
      <c r="K489" s="14">
        <v>0</v>
      </c>
      <c r="L489" s="14">
        <v>0</v>
      </c>
      <c r="M489" s="14">
        <v>0</v>
      </c>
      <c r="N489" s="14">
        <v>150000</v>
      </c>
      <c r="O489" s="14">
        <v>150000</v>
      </c>
      <c r="P489" s="15">
        <f t="shared" si="104"/>
        <v>300000</v>
      </c>
    </row>
    <row r="490" spans="1:16" ht="26.25" hidden="1" thickBot="1">
      <c r="A490" s="57"/>
      <c r="B490" s="6">
        <v>7600</v>
      </c>
      <c r="C490" s="40"/>
      <c r="D490" s="44" t="s">
        <v>165</v>
      </c>
      <c r="E490" s="41">
        <f t="shared" ref="E490:O490" si="115">E491</f>
        <v>0</v>
      </c>
      <c r="F490" s="11">
        <f t="shared" si="115"/>
        <v>0</v>
      </c>
      <c r="G490" s="11">
        <f t="shared" si="115"/>
        <v>0</v>
      </c>
      <c r="H490" s="11">
        <f t="shared" si="115"/>
        <v>0</v>
      </c>
      <c r="I490" s="11">
        <f t="shared" si="115"/>
        <v>0</v>
      </c>
      <c r="J490" s="10">
        <f t="shared" si="115"/>
        <v>1600000</v>
      </c>
      <c r="K490" s="11">
        <f t="shared" si="115"/>
        <v>0</v>
      </c>
      <c r="L490" s="11">
        <f t="shared" si="115"/>
        <v>0</v>
      </c>
      <c r="M490" s="11">
        <f t="shared" si="115"/>
        <v>0</v>
      </c>
      <c r="N490" s="11">
        <f t="shared" si="115"/>
        <v>1600000</v>
      </c>
      <c r="O490" s="11">
        <f t="shared" si="115"/>
        <v>1600000</v>
      </c>
      <c r="P490" s="10">
        <f t="shared" si="104"/>
        <v>1600000</v>
      </c>
    </row>
    <row r="491" spans="1:16" ht="26.25" hidden="1" thickBot="1">
      <c r="A491" s="6" t="s">
        <v>166</v>
      </c>
      <c r="B491" s="12">
        <v>7670</v>
      </c>
      <c r="C491" s="40" t="s">
        <v>59</v>
      </c>
      <c r="D491" s="53" t="s">
        <v>167</v>
      </c>
      <c r="E491" s="42">
        <f>F491+I491</f>
        <v>0</v>
      </c>
      <c r="F491" s="14">
        <v>0</v>
      </c>
      <c r="G491" s="14">
        <v>0</v>
      </c>
      <c r="H491" s="14">
        <v>0</v>
      </c>
      <c r="I491" s="14">
        <v>0</v>
      </c>
      <c r="J491" s="15">
        <f>K491+N491</f>
        <v>1600000</v>
      </c>
      <c r="K491" s="14">
        <v>0</v>
      </c>
      <c r="L491" s="14">
        <v>0</v>
      </c>
      <c r="M491" s="14">
        <v>0</v>
      </c>
      <c r="N491" s="14">
        <v>1600000</v>
      </c>
      <c r="O491" s="14">
        <v>1600000</v>
      </c>
      <c r="P491" s="15">
        <f t="shared" si="104"/>
        <v>1600000</v>
      </c>
    </row>
    <row r="492" spans="1:16" hidden="1">
      <c r="A492" s="57"/>
      <c r="B492" s="12"/>
      <c r="C492" s="40"/>
      <c r="D492" s="45" t="s">
        <v>109</v>
      </c>
      <c r="E492" s="42">
        <f>F492+I492</f>
        <v>0</v>
      </c>
      <c r="F492" s="14">
        <v>0</v>
      </c>
      <c r="G492" s="14">
        <v>0</v>
      </c>
      <c r="H492" s="14">
        <v>0</v>
      </c>
      <c r="I492" s="14">
        <v>0</v>
      </c>
      <c r="J492" s="15">
        <f>K492+N492</f>
        <v>1000000</v>
      </c>
      <c r="K492" s="14">
        <v>0</v>
      </c>
      <c r="L492" s="14">
        <v>0</v>
      </c>
      <c r="M492" s="14">
        <v>0</v>
      </c>
      <c r="N492" s="14">
        <v>1000000</v>
      </c>
      <c r="O492" s="14">
        <v>1000000</v>
      </c>
      <c r="P492" s="15">
        <f t="shared" si="104"/>
        <v>1000000</v>
      </c>
    </row>
    <row r="493" spans="1:16" ht="13.5" hidden="1" thickBot="1">
      <c r="A493" s="57"/>
      <c r="B493" s="12"/>
      <c r="C493" s="40"/>
      <c r="D493" s="45" t="s">
        <v>111</v>
      </c>
      <c r="E493" s="42">
        <f>F493+I493</f>
        <v>0</v>
      </c>
      <c r="F493" s="14">
        <v>0</v>
      </c>
      <c r="G493" s="14">
        <v>0</v>
      </c>
      <c r="H493" s="14">
        <v>0</v>
      </c>
      <c r="I493" s="14">
        <v>0</v>
      </c>
      <c r="J493" s="15">
        <f>K493+N493</f>
        <v>600000</v>
      </c>
      <c r="K493" s="14">
        <v>0</v>
      </c>
      <c r="L493" s="14">
        <v>0</v>
      </c>
      <c r="M493" s="14">
        <v>0</v>
      </c>
      <c r="N493" s="14">
        <v>600000</v>
      </c>
      <c r="O493" s="14">
        <v>600000</v>
      </c>
      <c r="P493" s="15">
        <f t="shared" si="104"/>
        <v>600000</v>
      </c>
    </row>
    <row r="494" spans="1:16" ht="26.25" hidden="1" thickBot="1">
      <c r="A494" s="7"/>
      <c r="B494" s="6">
        <v>8300</v>
      </c>
      <c r="C494" s="38"/>
      <c r="D494" s="44" t="s">
        <v>168</v>
      </c>
      <c r="E494" s="41">
        <f>E495</f>
        <v>0</v>
      </c>
      <c r="F494" s="11">
        <v>0</v>
      </c>
      <c r="G494" s="11">
        <v>0</v>
      </c>
      <c r="H494" s="11">
        <v>0</v>
      </c>
      <c r="I494" s="11">
        <v>0</v>
      </c>
      <c r="J494" s="10">
        <f>J495+J504</f>
        <v>918000</v>
      </c>
      <c r="K494" s="11">
        <f>K495+K504</f>
        <v>918000</v>
      </c>
      <c r="L494" s="11">
        <v>0</v>
      </c>
      <c r="M494" s="11">
        <v>0</v>
      </c>
      <c r="N494" s="11">
        <v>0</v>
      </c>
      <c r="O494" s="11">
        <v>0</v>
      </c>
      <c r="P494" s="10">
        <f t="shared" si="104"/>
        <v>918000</v>
      </c>
    </row>
    <row r="495" spans="1:16" ht="26.25" hidden="1" thickBot="1">
      <c r="A495" s="6" t="s">
        <v>169</v>
      </c>
      <c r="B495" s="12">
        <v>8311</v>
      </c>
      <c r="C495" s="40" t="s">
        <v>79</v>
      </c>
      <c r="D495" s="54" t="s">
        <v>90</v>
      </c>
      <c r="E495" s="42">
        <f>F495+I495</f>
        <v>0</v>
      </c>
      <c r="F495" s="14">
        <v>0</v>
      </c>
      <c r="G495" s="14">
        <v>0</v>
      </c>
      <c r="H495" s="14">
        <v>0</v>
      </c>
      <c r="I495" s="14">
        <v>0</v>
      </c>
      <c r="J495" s="15">
        <f>K495+N495</f>
        <v>2000</v>
      </c>
      <c r="K495" s="14">
        <v>2000</v>
      </c>
      <c r="L495" s="14">
        <v>0</v>
      </c>
      <c r="M495" s="14">
        <v>0</v>
      </c>
      <c r="N495" s="14">
        <v>0</v>
      </c>
      <c r="O495" s="14">
        <v>0</v>
      </c>
      <c r="P495" s="15">
        <f t="shared" si="104"/>
        <v>2000</v>
      </c>
    </row>
    <row r="496" spans="1:16" ht="13.5" hidden="1" thickBot="1">
      <c r="A496" s="7"/>
      <c r="B496" s="6">
        <v>9000</v>
      </c>
      <c r="C496" s="38"/>
      <c r="D496" s="59" t="s">
        <v>188</v>
      </c>
      <c r="E496" s="41">
        <f>E497+E500+E502+E501+E498</f>
        <v>620500</v>
      </c>
      <c r="F496" s="32">
        <f>F497+F500+F502+F501+F498</f>
        <v>620500</v>
      </c>
      <c r="G496" s="32">
        <f>G497+G500+G502+G501+G498</f>
        <v>0</v>
      </c>
      <c r="H496" s="32">
        <f>H497+H500+H502+H501+H498</f>
        <v>0</v>
      </c>
      <c r="I496" s="32">
        <f>I497+I500+I502+I501+I498</f>
        <v>0</v>
      </c>
      <c r="J496" s="10">
        <f t="shared" ref="J496:O496" si="116">J497+J500+J502</f>
        <v>0</v>
      </c>
      <c r="K496" s="11">
        <f t="shared" si="116"/>
        <v>0</v>
      </c>
      <c r="L496" s="11">
        <f t="shared" si="116"/>
        <v>0</v>
      </c>
      <c r="M496" s="11">
        <f t="shared" si="116"/>
        <v>0</v>
      </c>
      <c r="N496" s="11">
        <f t="shared" si="116"/>
        <v>0</v>
      </c>
      <c r="O496" s="11">
        <f t="shared" si="116"/>
        <v>0</v>
      </c>
      <c r="P496" s="10">
        <f t="shared" si="104"/>
        <v>620500</v>
      </c>
    </row>
    <row r="497" spans="1:16" hidden="1">
      <c r="A497" s="57"/>
      <c r="B497" s="12"/>
      <c r="C497" s="40"/>
      <c r="D497" s="46"/>
      <c r="E497" s="42">
        <v>0</v>
      </c>
      <c r="F497" s="14">
        <v>0</v>
      </c>
      <c r="G497" s="14">
        <v>0</v>
      </c>
      <c r="H497" s="14">
        <v>0</v>
      </c>
      <c r="I497" s="14">
        <v>0</v>
      </c>
      <c r="J497" s="15">
        <f>K497+N497</f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5">
        <f t="shared" si="104"/>
        <v>0</v>
      </c>
    </row>
    <row r="498" spans="1:16" hidden="1">
      <c r="A498" s="57"/>
      <c r="B498" s="12"/>
      <c r="C498" s="40"/>
      <c r="D498" s="46"/>
      <c r="E498" s="42">
        <f>F498+I498</f>
        <v>0</v>
      </c>
      <c r="F498" s="14"/>
      <c r="G498" s="14"/>
      <c r="H498" s="14">
        <v>0</v>
      </c>
      <c r="I498" s="14">
        <v>0</v>
      </c>
      <c r="J498" s="15">
        <f>K498+N498</f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5">
        <f t="shared" si="104"/>
        <v>0</v>
      </c>
    </row>
    <row r="499" spans="1:16" hidden="1">
      <c r="A499" s="57"/>
      <c r="B499" s="12"/>
      <c r="C499" s="40"/>
      <c r="D499" s="45"/>
      <c r="E499" s="42">
        <f>F499+I499</f>
        <v>0</v>
      </c>
      <c r="F499" s="14"/>
      <c r="G499" s="14"/>
      <c r="H499" s="14">
        <v>0</v>
      </c>
      <c r="I499" s="14">
        <v>0</v>
      </c>
      <c r="J499" s="15">
        <f>K499+N499</f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5">
        <f t="shared" si="104"/>
        <v>0</v>
      </c>
    </row>
    <row r="500" spans="1:16" ht="39" hidden="1" thickBot="1">
      <c r="A500" s="57"/>
      <c r="B500" s="12">
        <v>9800</v>
      </c>
      <c r="C500" s="40" t="s">
        <v>114</v>
      </c>
      <c r="D500" s="46" t="s">
        <v>115</v>
      </c>
      <c r="E500" s="42">
        <f>F500+I500</f>
        <v>390000</v>
      </c>
      <c r="F500" s="14">
        <f>350000+40000</f>
        <v>390000</v>
      </c>
      <c r="G500" s="14">
        <v>0</v>
      </c>
      <c r="H500" s="14">
        <v>0</v>
      </c>
      <c r="I500" s="14">
        <v>0</v>
      </c>
      <c r="J500" s="15">
        <f>K500+N500</f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5">
        <f t="shared" si="104"/>
        <v>390000</v>
      </c>
    </row>
    <row r="501" spans="1:16" ht="13.5" hidden="1" thickBot="1">
      <c r="A501" s="57"/>
      <c r="B501" s="12"/>
      <c r="C501" s="40"/>
      <c r="D501" s="46"/>
      <c r="E501" s="42">
        <f>F501+I501</f>
        <v>0</v>
      </c>
      <c r="F501" s="14"/>
      <c r="G501" s="14">
        <v>0</v>
      </c>
      <c r="H501" s="14">
        <v>0</v>
      </c>
      <c r="I501" s="14">
        <v>0</v>
      </c>
      <c r="J501" s="15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5">
        <f t="shared" si="104"/>
        <v>0</v>
      </c>
    </row>
    <row r="502" spans="1:16" ht="13.5" hidden="1" thickBot="1">
      <c r="A502" s="57"/>
      <c r="B502" s="12">
        <v>9770</v>
      </c>
      <c r="C502" s="40" t="s">
        <v>114</v>
      </c>
      <c r="D502" s="60" t="s">
        <v>189</v>
      </c>
      <c r="E502" s="42">
        <f>F502+I502</f>
        <v>230500</v>
      </c>
      <c r="F502" s="14">
        <v>230500</v>
      </c>
      <c r="G502" s="14">
        <v>0</v>
      </c>
      <c r="H502" s="14">
        <v>0</v>
      </c>
      <c r="I502" s="14">
        <v>0</v>
      </c>
      <c r="J502" s="15">
        <f>K502+N502</f>
        <v>0</v>
      </c>
      <c r="K502" s="14">
        <v>0</v>
      </c>
      <c r="L502" s="14">
        <v>0</v>
      </c>
      <c r="M502" s="14">
        <v>0</v>
      </c>
      <c r="N502" s="14"/>
      <c r="O502" s="14"/>
      <c r="P502" s="15">
        <f t="shared" si="104"/>
        <v>230500</v>
      </c>
    </row>
    <row r="503" spans="1:16" ht="13.5" hidden="1" thickBot="1">
      <c r="A503" s="7"/>
      <c r="B503" s="6" t="s">
        <v>87</v>
      </c>
      <c r="C503" s="38"/>
      <c r="D503" s="45" t="s">
        <v>88</v>
      </c>
      <c r="E503" s="41">
        <f t="shared" ref="E503:O503" si="117">E504+E507</f>
        <v>5050000</v>
      </c>
      <c r="F503" s="11">
        <f t="shared" si="117"/>
        <v>5050000</v>
      </c>
      <c r="G503" s="11">
        <f t="shared" si="117"/>
        <v>0</v>
      </c>
      <c r="H503" s="11">
        <f t="shared" si="117"/>
        <v>0</v>
      </c>
      <c r="I503" s="11">
        <f t="shared" si="117"/>
        <v>0</v>
      </c>
      <c r="J503" s="10">
        <f t="shared" si="117"/>
        <v>916000</v>
      </c>
      <c r="K503" s="11">
        <f t="shared" si="117"/>
        <v>916000</v>
      </c>
      <c r="L503" s="11">
        <f t="shared" si="117"/>
        <v>0</v>
      </c>
      <c r="M503" s="11">
        <f t="shared" si="117"/>
        <v>0</v>
      </c>
      <c r="N503" s="11">
        <f t="shared" si="117"/>
        <v>0</v>
      </c>
      <c r="O503" s="11">
        <f t="shared" si="117"/>
        <v>0</v>
      </c>
      <c r="P503" s="10">
        <f t="shared" si="104"/>
        <v>5966000</v>
      </c>
    </row>
    <row r="504" spans="1:16" ht="26.25" hidden="1" thickBot="1">
      <c r="A504" s="6" t="s">
        <v>170</v>
      </c>
      <c r="B504" s="12">
        <v>8340</v>
      </c>
      <c r="C504" s="40" t="s">
        <v>171</v>
      </c>
      <c r="D504" s="53" t="s">
        <v>172</v>
      </c>
      <c r="E504" s="42">
        <v>0</v>
      </c>
      <c r="F504" s="14">
        <v>0</v>
      </c>
      <c r="G504" s="14">
        <v>0</v>
      </c>
      <c r="H504" s="14">
        <v>0</v>
      </c>
      <c r="I504" s="14">
        <v>0</v>
      </c>
      <c r="J504" s="15">
        <f>K504+N504</f>
        <v>916000</v>
      </c>
      <c r="K504" s="14">
        <f>216000+700000</f>
        <v>916000</v>
      </c>
      <c r="L504" s="14">
        <v>0</v>
      </c>
      <c r="M504" s="14">
        <v>0</v>
      </c>
      <c r="N504" s="14"/>
      <c r="O504" s="14">
        <v>0</v>
      </c>
      <c r="P504" s="15">
        <f t="shared" si="104"/>
        <v>916000</v>
      </c>
    </row>
    <row r="505" spans="1:16" hidden="1">
      <c r="A505" s="57"/>
      <c r="B505" s="12"/>
      <c r="C505" s="40"/>
      <c r="D505" s="45" t="s">
        <v>111</v>
      </c>
      <c r="E505" s="42">
        <v>0</v>
      </c>
      <c r="F505" s="14">
        <v>0</v>
      </c>
      <c r="G505" s="14">
        <v>0</v>
      </c>
      <c r="H505" s="14">
        <v>0</v>
      </c>
      <c r="I505" s="14">
        <v>0</v>
      </c>
      <c r="J505" s="15"/>
      <c r="K505" s="14">
        <v>0</v>
      </c>
      <c r="L505" s="14">
        <v>0</v>
      </c>
      <c r="M505" s="14">
        <v>0</v>
      </c>
      <c r="N505" s="14"/>
      <c r="O505" s="14">
        <v>0</v>
      </c>
      <c r="P505" s="15"/>
    </row>
    <row r="506" spans="1:16" ht="13.5" hidden="1" thickBot="1">
      <c r="A506" s="57"/>
      <c r="B506" s="12"/>
      <c r="C506" s="40"/>
      <c r="D506" s="45" t="s">
        <v>109</v>
      </c>
      <c r="E506" s="42">
        <v>0</v>
      </c>
      <c r="F506" s="14">
        <v>0</v>
      </c>
      <c r="G506" s="14">
        <v>0</v>
      </c>
      <c r="H506" s="14">
        <v>0</v>
      </c>
      <c r="I506" s="14">
        <v>0</v>
      </c>
      <c r="J506" s="15">
        <v>0</v>
      </c>
      <c r="K506" s="14">
        <v>0</v>
      </c>
      <c r="L506" s="14">
        <v>0</v>
      </c>
      <c r="M506" s="14">
        <v>0</v>
      </c>
      <c r="N506" s="14"/>
      <c r="O506" s="14">
        <v>0</v>
      </c>
      <c r="P506" s="15"/>
    </row>
    <row r="507" spans="1:16" ht="38.25" hidden="1">
      <c r="A507" s="6" t="s">
        <v>173</v>
      </c>
      <c r="B507" s="6">
        <v>9410</v>
      </c>
      <c r="C507" s="39" t="s">
        <v>114</v>
      </c>
      <c r="D507" s="56" t="s">
        <v>174</v>
      </c>
      <c r="E507" s="42">
        <f>F507+I507</f>
        <v>5050000</v>
      </c>
      <c r="F507" s="14">
        <v>5050000</v>
      </c>
      <c r="G507" s="14">
        <v>0</v>
      </c>
      <c r="H507" s="14">
        <v>0</v>
      </c>
      <c r="I507" s="14">
        <v>0</v>
      </c>
      <c r="J507" s="15">
        <f>K507+N507</f>
        <v>0</v>
      </c>
      <c r="K507" s="14">
        <v>0</v>
      </c>
      <c r="L507" s="14">
        <v>0</v>
      </c>
      <c r="M507" s="14">
        <v>0</v>
      </c>
      <c r="N507" s="14"/>
      <c r="O507" s="14">
        <v>0</v>
      </c>
      <c r="P507" s="15">
        <f t="shared" ref="P507:P510" si="118">E507+J507</f>
        <v>5050000</v>
      </c>
    </row>
    <row r="508" spans="1:16" ht="13.5" hidden="1" thickBot="1">
      <c r="A508" s="7"/>
      <c r="B508" s="12"/>
      <c r="C508" s="13"/>
      <c r="D508" s="48"/>
      <c r="E508" s="15">
        <f t="shared" ref="E508:O508" si="119">E509</f>
        <v>0</v>
      </c>
      <c r="F508" s="15">
        <f t="shared" si="119"/>
        <v>0</v>
      </c>
      <c r="G508" s="15">
        <f t="shared" si="119"/>
        <v>0</v>
      </c>
      <c r="H508" s="15">
        <f t="shared" si="119"/>
        <v>0</v>
      </c>
      <c r="I508" s="15">
        <f t="shared" si="119"/>
        <v>0</v>
      </c>
      <c r="J508" s="15">
        <f t="shared" si="119"/>
        <v>1400000</v>
      </c>
      <c r="K508" s="15">
        <f t="shared" si="119"/>
        <v>0</v>
      </c>
      <c r="L508" s="15">
        <f t="shared" si="119"/>
        <v>0</v>
      </c>
      <c r="M508" s="15">
        <f t="shared" si="119"/>
        <v>0</v>
      </c>
      <c r="N508" s="15">
        <f t="shared" si="119"/>
        <v>1400000</v>
      </c>
      <c r="O508" s="15">
        <f t="shared" si="119"/>
        <v>0</v>
      </c>
      <c r="P508" s="15">
        <f t="shared" si="118"/>
        <v>1400000</v>
      </c>
    </row>
    <row r="509" spans="1:16" ht="79.5" hidden="1" thickBot="1">
      <c r="A509" s="6" t="s">
        <v>191</v>
      </c>
      <c r="B509" s="12">
        <v>7691</v>
      </c>
      <c r="C509" s="40" t="s">
        <v>59</v>
      </c>
      <c r="D509" s="61" t="s">
        <v>190</v>
      </c>
      <c r="E509" s="15">
        <f>F509+I509</f>
        <v>0</v>
      </c>
      <c r="F509" s="14"/>
      <c r="G509" s="14"/>
      <c r="H509" s="14"/>
      <c r="I509" s="14">
        <v>0</v>
      </c>
      <c r="J509" s="15">
        <f>K509+N509</f>
        <v>1400000</v>
      </c>
      <c r="K509" s="14"/>
      <c r="L509" s="14">
        <v>0</v>
      </c>
      <c r="M509" s="14">
        <v>0</v>
      </c>
      <c r="N509" s="14">
        <v>1400000</v>
      </c>
      <c r="O509" s="14"/>
      <c r="P509" s="15">
        <f t="shared" si="118"/>
        <v>1400000</v>
      </c>
    </row>
    <row r="510" spans="1:16" hidden="1">
      <c r="A510" s="16"/>
      <c r="B510" s="17" t="s">
        <v>93</v>
      </c>
      <c r="C510" s="18"/>
      <c r="D510" s="49" t="s">
        <v>10</v>
      </c>
      <c r="E510" s="10">
        <f t="shared" ref="E510:O510" si="120">E453+E508</f>
        <v>67408262</v>
      </c>
      <c r="F510" s="10">
        <f t="shared" si="120"/>
        <v>67408262</v>
      </c>
      <c r="G510" s="10">
        <f t="shared" si="120"/>
        <v>28247146</v>
      </c>
      <c r="H510" s="10">
        <f t="shared" si="120"/>
        <v>5813148</v>
      </c>
      <c r="I510" s="10">
        <f t="shared" si="120"/>
        <v>0</v>
      </c>
      <c r="J510" s="10">
        <f t="shared" si="120"/>
        <v>22555638</v>
      </c>
      <c r="K510" s="10">
        <f t="shared" si="120"/>
        <v>2004000</v>
      </c>
      <c r="L510" s="10">
        <f t="shared" si="120"/>
        <v>0</v>
      </c>
      <c r="M510" s="10">
        <f t="shared" si="120"/>
        <v>0</v>
      </c>
      <c r="N510" s="10">
        <f t="shared" si="120"/>
        <v>21467638</v>
      </c>
      <c r="O510" s="10">
        <f t="shared" si="120"/>
        <v>20067638</v>
      </c>
      <c r="P510" s="10">
        <f t="shared" si="118"/>
        <v>89963900</v>
      </c>
    </row>
    <row r="511" spans="1:16" hidden="1"/>
    <row r="512" spans="1:16" hidden="1"/>
    <row r="513" spans="1:16" hidden="1">
      <c r="B513" s="2" t="s">
        <v>177</v>
      </c>
      <c r="I513" s="2" t="s">
        <v>178</v>
      </c>
    </row>
    <row r="514" spans="1:16" hidden="1"/>
    <row r="515" spans="1:16" ht="15" hidden="1" customHeight="1">
      <c r="A515" t="s">
        <v>193</v>
      </c>
      <c r="M515" s="91" t="s">
        <v>260</v>
      </c>
      <c r="N515" s="91"/>
      <c r="O515" s="91"/>
      <c r="P515" s="91"/>
    </row>
    <row r="516" spans="1:16" ht="15" hidden="1" customHeight="1">
      <c r="M516" s="91"/>
      <c r="N516" s="91"/>
      <c r="O516" s="91"/>
      <c r="P516" s="91"/>
    </row>
    <row r="517" spans="1:16" ht="31.5" hidden="1" customHeight="1">
      <c r="M517" s="91"/>
      <c r="N517" s="91"/>
      <c r="O517" s="91"/>
      <c r="P517" s="91"/>
    </row>
    <row r="518" spans="1:16" ht="15" hidden="1" customHeight="1">
      <c r="M518" s="91"/>
      <c r="N518" s="91"/>
      <c r="O518" s="91"/>
      <c r="P518" s="91"/>
    </row>
    <row r="519" spans="1:16" hidden="1">
      <c r="A519" s="92" t="s">
        <v>2</v>
      </c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</row>
    <row r="520" spans="1:16" hidden="1">
      <c r="A520" s="92" t="s">
        <v>175</v>
      </c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</row>
    <row r="521" spans="1:16" hidden="1">
      <c r="P521" s="1" t="s">
        <v>4</v>
      </c>
    </row>
    <row r="522" spans="1:16" hidden="1">
      <c r="A522" s="94" t="s">
        <v>5</v>
      </c>
      <c r="B522" s="94" t="s">
        <v>6</v>
      </c>
      <c r="C522" s="94" t="s">
        <v>7</v>
      </c>
      <c r="D522" s="95" t="s">
        <v>8</v>
      </c>
      <c r="E522" s="95" t="s">
        <v>9</v>
      </c>
      <c r="F522" s="95"/>
      <c r="G522" s="95"/>
      <c r="H522" s="95"/>
      <c r="I522" s="95"/>
      <c r="J522" s="95" t="s">
        <v>16</v>
      </c>
      <c r="K522" s="95"/>
      <c r="L522" s="95"/>
      <c r="M522" s="95"/>
      <c r="N522" s="95"/>
      <c r="O522" s="95"/>
      <c r="P522" s="96" t="s">
        <v>194</v>
      </c>
    </row>
    <row r="523" spans="1:16" hidden="1">
      <c r="A523" s="95"/>
      <c r="B523" s="95"/>
      <c r="C523" s="95"/>
      <c r="D523" s="95"/>
      <c r="E523" s="96" t="s">
        <v>10</v>
      </c>
      <c r="F523" s="95" t="s">
        <v>11</v>
      </c>
      <c r="G523" s="95" t="s">
        <v>12</v>
      </c>
      <c r="H523" s="95"/>
      <c r="I523" s="95" t="s">
        <v>15</v>
      </c>
      <c r="J523" s="96" t="s">
        <v>10</v>
      </c>
      <c r="K523" s="95" t="s">
        <v>11</v>
      </c>
      <c r="L523" s="95" t="s">
        <v>12</v>
      </c>
      <c r="M523" s="95"/>
      <c r="N523" s="95" t="s">
        <v>15</v>
      </c>
      <c r="O523" s="62" t="s">
        <v>12</v>
      </c>
      <c r="P523" s="95"/>
    </row>
    <row r="524" spans="1:16" hidden="1">
      <c r="A524" s="95"/>
      <c r="B524" s="95"/>
      <c r="C524" s="95"/>
      <c r="D524" s="95"/>
      <c r="E524" s="95"/>
      <c r="F524" s="95"/>
      <c r="G524" s="95" t="s">
        <v>13</v>
      </c>
      <c r="H524" s="95" t="s">
        <v>14</v>
      </c>
      <c r="I524" s="95"/>
      <c r="J524" s="95"/>
      <c r="K524" s="95"/>
      <c r="L524" s="95" t="s">
        <v>13</v>
      </c>
      <c r="M524" s="95" t="s">
        <v>14</v>
      </c>
      <c r="N524" s="95"/>
      <c r="O524" s="95" t="s">
        <v>17</v>
      </c>
      <c r="P524" s="95"/>
    </row>
    <row r="525" spans="1:16" hidden="1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</row>
    <row r="526" spans="1:16" hidden="1">
      <c r="A526" s="62">
        <v>1</v>
      </c>
      <c r="B526" s="62">
        <v>2</v>
      </c>
      <c r="C526" s="62">
        <v>3</v>
      </c>
      <c r="D526" s="62">
        <v>4</v>
      </c>
      <c r="E526" s="63">
        <v>5</v>
      </c>
      <c r="F526" s="62">
        <v>6</v>
      </c>
      <c r="G526" s="62">
        <v>7</v>
      </c>
      <c r="H526" s="62">
        <v>8</v>
      </c>
      <c r="I526" s="62">
        <v>9</v>
      </c>
      <c r="J526" s="63">
        <v>10</v>
      </c>
      <c r="K526" s="62">
        <v>11</v>
      </c>
      <c r="L526" s="62">
        <v>12</v>
      </c>
      <c r="M526" s="62">
        <v>13</v>
      </c>
      <c r="N526" s="62">
        <v>14</v>
      </c>
      <c r="O526" s="62">
        <v>15</v>
      </c>
      <c r="P526" s="63">
        <v>16</v>
      </c>
    </row>
    <row r="527" spans="1:16" hidden="1">
      <c r="A527" s="6" t="s">
        <v>124</v>
      </c>
      <c r="B527" s="7"/>
      <c r="C527" s="8"/>
      <c r="D527" s="45" t="s">
        <v>182</v>
      </c>
      <c r="E527" s="10">
        <f t="shared" ref="E527:P527" si="121">E529+E530+E532+E533+E536+E538+E539+E541+E542+E543+E545+E547+E550+E552+E554+E555+E557+E559+E560+E564+E566+E567+E568+E570+E571+E572</f>
        <v>67408262</v>
      </c>
      <c r="F527" s="10">
        <f t="shared" si="121"/>
        <v>67358262</v>
      </c>
      <c r="G527" s="10">
        <f t="shared" si="121"/>
        <v>28309826</v>
      </c>
      <c r="H527" s="10">
        <f t="shared" si="121"/>
        <v>7096678</v>
      </c>
      <c r="I527" s="10">
        <f t="shared" si="121"/>
        <v>50000</v>
      </c>
      <c r="J527" s="10">
        <f t="shared" si="121"/>
        <v>22555638</v>
      </c>
      <c r="K527" s="10">
        <f t="shared" si="121"/>
        <v>1088000</v>
      </c>
      <c r="L527" s="10">
        <f t="shared" si="121"/>
        <v>0</v>
      </c>
      <c r="M527" s="10">
        <f t="shared" si="121"/>
        <v>0</v>
      </c>
      <c r="N527" s="10">
        <f t="shared" si="121"/>
        <v>21467638</v>
      </c>
      <c r="O527" s="10">
        <f t="shared" si="121"/>
        <v>20067638</v>
      </c>
      <c r="P527" s="10">
        <f t="shared" si="121"/>
        <v>89963900</v>
      </c>
    </row>
    <row r="528" spans="1:16" hidden="1">
      <c r="A528" s="6" t="s">
        <v>125</v>
      </c>
      <c r="B528" s="7"/>
      <c r="C528" s="8"/>
      <c r="D528" s="45" t="s">
        <v>182</v>
      </c>
      <c r="E528" s="10">
        <f t="shared" ref="E528:P528" si="122">E527</f>
        <v>67408262</v>
      </c>
      <c r="F528" s="10">
        <f t="shared" si="122"/>
        <v>67358262</v>
      </c>
      <c r="G528" s="10">
        <f t="shared" si="122"/>
        <v>28309826</v>
      </c>
      <c r="H528" s="10">
        <f t="shared" si="122"/>
        <v>7096678</v>
      </c>
      <c r="I528" s="10">
        <f t="shared" si="122"/>
        <v>50000</v>
      </c>
      <c r="J528" s="10">
        <f t="shared" si="122"/>
        <v>22555638</v>
      </c>
      <c r="K528" s="10">
        <f t="shared" si="122"/>
        <v>1088000</v>
      </c>
      <c r="L528" s="10">
        <f t="shared" si="122"/>
        <v>0</v>
      </c>
      <c r="M528" s="10">
        <f t="shared" si="122"/>
        <v>0</v>
      </c>
      <c r="N528" s="10">
        <f t="shared" si="122"/>
        <v>21467638</v>
      </c>
      <c r="O528" s="10">
        <f t="shared" si="122"/>
        <v>20067638</v>
      </c>
      <c r="P528" s="10">
        <f t="shared" si="122"/>
        <v>89963900</v>
      </c>
    </row>
    <row r="529" spans="1:16" ht="63.75" hidden="1">
      <c r="A529" s="6" t="s">
        <v>126</v>
      </c>
      <c r="B529" s="6" t="s">
        <v>127</v>
      </c>
      <c r="C529" s="64" t="s">
        <v>23</v>
      </c>
      <c r="D529" s="9" t="s">
        <v>181</v>
      </c>
      <c r="E529" s="10">
        <v>13237766</v>
      </c>
      <c r="F529" s="11">
        <v>13237766</v>
      </c>
      <c r="G529" s="11">
        <v>8992525</v>
      </c>
      <c r="H529" s="11">
        <v>856886</v>
      </c>
      <c r="I529" s="11">
        <v>0</v>
      </c>
      <c r="J529" s="10">
        <v>235000</v>
      </c>
      <c r="K529" s="11">
        <v>35000</v>
      </c>
      <c r="L529" s="11">
        <v>0</v>
      </c>
      <c r="M529" s="11">
        <v>0</v>
      </c>
      <c r="N529" s="11">
        <v>200000</v>
      </c>
      <c r="O529" s="11">
        <v>200000</v>
      </c>
      <c r="P529" s="10">
        <f t="shared" ref="P529:P572" si="123">E529+J529</f>
        <v>13472766</v>
      </c>
    </row>
    <row r="530" spans="1:16" ht="38.25" hidden="1">
      <c r="A530" s="6" t="s">
        <v>195</v>
      </c>
      <c r="B530" s="6" t="s">
        <v>196</v>
      </c>
      <c r="C530" s="8"/>
      <c r="D530" s="9" t="s">
        <v>197</v>
      </c>
      <c r="E530" s="10">
        <v>95000</v>
      </c>
      <c r="F530" s="11">
        <v>95000</v>
      </c>
      <c r="G530" s="11">
        <v>62680</v>
      </c>
      <c r="H530" s="11">
        <v>0</v>
      </c>
      <c r="I530" s="11">
        <v>0</v>
      </c>
      <c r="J530" s="10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0">
        <f t="shared" si="123"/>
        <v>95000</v>
      </c>
    </row>
    <row r="531" spans="1:16" hidden="1">
      <c r="A531" s="12" t="s">
        <v>198</v>
      </c>
      <c r="B531" s="12" t="s">
        <v>199</v>
      </c>
      <c r="C531" s="13" t="s">
        <v>200</v>
      </c>
      <c r="D531" s="65" t="s">
        <v>201</v>
      </c>
      <c r="E531" s="15">
        <v>95000</v>
      </c>
      <c r="F531" s="14">
        <v>95000</v>
      </c>
      <c r="G531" s="14">
        <v>62680</v>
      </c>
      <c r="H531" s="14">
        <v>0</v>
      </c>
      <c r="I531" s="14">
        <v>0</v>
      </c>
      <c r="J531" s="15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5">
        <f t="shared" si="123"/>
        <v>95000</v>
      </c>
    </row>
    <row r="532" spans="1:16" hidden="1">
      <c r="A532" s="6" t="s">
        <v>128</v>
      </c>
      <c r="B532" s="6" t="s">
        <v>202</v>
      </c>
      <c r="C532" s="64" t="s">
        <v>129</v>
      </c>
      <c r="D532" s="9" t="s">
        <v>132</v>
      </c>
      <c r="E532" s="10">
        <v>2653120</v>
      </c>
      <c r="F532" s="11">
        <v>2653120</v>
      </c>
      <c r="G532" s="11">
        <v>1508373</v>
      </c>
      <c r="H532" s="11">
        <v>348146</v>
      </c>
      <c r="I532" s="11">
        <v>0</v>
      </c>
      <c r="J532" s="10">
        <v>810000</v>
      </c>
      <c r="K532" s="11">
        <v>50000</v>
      </c>
      <c r="L532" s="11">
        <v>0</v>
      </c>
      <c r="M532" s="11">
        <v>0</v>
      </c>
      <c r="N532" s="11">
        <v>760000</v>
      </c>
      <c r="O532" s="11">
        <v>760000</v>
      </c>
      <c r="P532" s="10">
        <f t="shared" si="123"/>
        <v>3463120</v>
      </c>
    </row>
    <row r="533" spans="1:16" ht="63.75" hidden="1">
      <c r="A533" s="6" t="s">
        <v>130</v>
      </c>
      <c r="B533" s="6" t="s">
        <v>29</v>
      </c>
      <c r="C533" s="64" t="s">
        <v>28</v>
      </c>
      <c r="D533" s="9" t="s">
        <v>203</v>
      </c>
      <c r="E533" s="10">
        <v>22875286</v>
      </c>
      <c r="F533" s="11">
        <v>22875286</v>
      </c>
      <c r="G533" s="11">
        <v>13178310</v>
      </c>
      <c r="H533" s="11">
        <v>3725096</v>
      </c>
      <c r="I533" s="11">
        <v>0</v>
      </c>
      <c r="J533" s="10">
        <v>232941</v>
      </c>
      <c r="K533" s="11">
        <v>80000</v>
      </c>
      <c r="L533" s="11">
        <v>0</v>
      </c>
      <c r="M533" s="11">
        <v>0</v>
      </c>
      <c r="N533" s="11">
        <v>152941</v>
      </c>
      <c r="O533" s="11">
        <v>152941</v>
      </c>
      <c r="P533" s="10">
        <f t="shared" si="123"/>
        <v>23108227</v>
      </c>
    </row>
    <row r="534" spans="1:16" ht="25.5" hidden="1">
      <c r="A534" s="6"/>
      <c r="B534" s="6"/>
      <c r="C534" s="64"/>
      <c r="D534" s="46" t="s">
        <v>133</v>
      </c>
      <c r="E534" s="42">
        <f>F534+I534</f>
        <v>13801200</v>
      </c>
      <c r="F534" s="14">
        <v>13801200</v>
      </c>
      <c r="G534" s="14">
        <v>11312500</v>
      </c>
      <c r="H534" s="11"/>
      <c r="I534" s="11"/>
      <c r="J534" s="10"/>
      <c r="K534" s="11"/>
      <c r="L534" s="11"/>
      <c r="M534" s="11"/>
      <c r="N534" s="11"/>
      <c r="O534" s="11"/>
      <c r="P534" s="10">
        <f t="shared" si="123"/>
        <v>13801200</v>
      </c>
    </row>
    <row r="535" spans="1:16" hidden="1">
      <c r="A535" s="6" t="s">
        <v>130</v>
      </c>
      <c r="B535" s="6">
        <v>1020</v>
      </c>
      <c r="C535" s="39" t="s">
        <v>28</v>
      </c>
      <c r="D535" s="45" t="s">
        <v>134</v>
      </c>
      <c r="E535" s="42">
        <f>F535+I535</f>
        <v>5607350</v>
      </c>
      <c r="F535" s="14">
        <v>5607350</v>
      </c>
      <c r="G535" s="14">
        <v>3183898</v>
      </c>
      <c r="H535" s="14">
        <v>770788</v>
      </c>
      <c r="I535" s="11"/>
      <c r="J535" s="10"/>
      <c r="K535" s="11">
        <v>80000</v>
      </c>
      <c r="L535" s="11"/>
      <c r="M535" s="11"/>
      <c r="N535" s="11">
        <v>25000</v>
      </c>
      <c r="O535" s="11">
        <v>25000</v>
      </c>
      <c r="P535" s="10">
        <f t="shared" si="123"/>
        <v>5607350</v>
      </c>
    </row>
    <row r="536" spans="1:16" ht="51" hidden="1">
      <c r="A536" s="6" t="s">
        <v>143</v>
      </c>
      <c r="B536" s="6" t="s">
        <v>204</v>
      </c>
      <c r="C536" s="64" t="s">
        <v>184</v>
      </c>
      <c r="D536" s="9" t="s">
        <v>145</v>
      </c>
      <c r="E536" s="10">
        <v>1714022</v>
      </c>
      <c r="F536" s="11">
        <v>1714022</v>
      </c>
      <c r="G536" s="11">
        <v>1351739</v>
      </c>
      <c r="H536" s="11">
        <v>46500</v>
      </c>
      <c r="I536" s="11">
        <v>0</v>
      </c>
      <c r="J536" s="10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0">
        <f t="shared" si="123"/>
        <v>1714022</v>
      </c>
    </row>
    <row r="537" spans="1:16" hidden="1">
      <c r="A537" s="6" t="s">
        <v>205</v>
      </c>
      <c r="B537" s="6" t="s">
        <v>206</v>
      </c>
      <c r="C537" s="8"/>
      <c r="D537" s="9" t="s">
        <v>207</v>
      </c>
      <c r="E537" s="10">
        <v>550000</v>
      </c>
      <c r="F537" s="11">
        <v>550000</v>
      </c>
      <c r="G537" s="11">
        <v>0</v>
      </c>
      <c r="H537" s="11">
        <v>0</v>
      </c>
      <c r="I537" s="11">
        <v>0</v>
      </c>
      <c r="J537" s="10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0">
        <f t="shared" si="123"/>
        <v>550000</v>
      </c>
    </row>
    <row r="538" spans="1:16" hidden="1">
      <c r="A538" s="12" t="s">
        <v>135</v>
      </c>
      <c r="B538" s="12" t="s">
        <v>208</v>
      </c>
      <c r="C538" s="13" t="s">
        <v>31</v>
      </c>
      <c r="D538" s="65" t="s">
        <v>136</v>
      </c>
      <c r="E538" s="15">
        <v>550000</v>
      </c>
      <c r="F538" s="14">
        <v>550000</v>
      </c>
      <c r="G538" s="14">
        <v>0</v>
      </c>
      <c r="H538" s="14">
        <v>0</v>
      </c>
      <c r="I538" s="14">
        <v>0</v>
      </c>
      <c r="J538" s="15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5">
        <f t="shared" si="123"/>
        <v>550000</v>
      </c>
    </row>
    <row r="539" spans="1:16" hidden="1">
      <c r="A539" s="6" t="s">
        <v>185</v>
      </c>
      <c r="B539" s="6" t="s">
        <v>209</v>
      </c>
      <c r="C539" s="64" t="s">
        <v>105</v>
      </c>
      <c r="D539" s="9" t="s">
        <v>106</v>
      </c>
      <c r="E539" s="10">
        <v>50000</v>
      </c>
      <c r="F539" s="11">
        <v>50000</v>
      </c>
      <c r="G539" s="11">
        <v>40984</v>
      </c>
      <c r="H539" s="11">
        <v>0</v>
      </c>
      <c r="I539" s="11">
        <v>0</v>
      </c>
      <c r="J539" s="10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0">
        <f t="shared" si="123"/>
        <v>50000</v>
      </c>
    </row>
    <row r="540" spans="1:16" hidden="1">
      <c r="A540" s="6" t="s">
        <v>210</v>
      </c>
      <c r="B540" s="6" t="s">
        <v>211</v>
      </c>
      <c r="C540" s="8"/>
      <c r="D540" s="9" t="s">
        <v>212</v>
      </c>
      <c r="E540" s="10">
        <v>1516000</v>
      </c>
      <c r="F540" s="11">
        <v>1516000</v>
      </c>
      <c r="G540" s="11">
        <v>0</v>
      </c>
      <c r="H540" s="11">
        <v>0</v>
      </c>
      <c r="I540" s="11">
        <v>0</v>
      </c>
      <c r="J540" s="10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0">
        <f t="shared" si="123"/>
        <v>1516000</v>
      </c>
    </row>
    <row r="541" spans="1:16" ht="25.5" hidden="1">
      <c r="A541" s="12" t="s">
        <v>139</v>
      </c>
      <c r="B541" s="12" t="s">
        <v>213</v>
      </c>
      <c r="C541" s="13" t="s">
        <v>36</v>
      </c>
      <c r="D541" s="65" t="s">
        <v>137</v>
      </c>
      <c r="E541" s="15">
        <v>1516000</v>
      </c>
      <c r="F541" s="14">
        <v>1516000</v>
      </c>
      <c r="G541" s="14">
        <v>0</v>
      </c>
      <c r="H541" s="14">
        <v>0</v>
      </c>
      <c r="I541" s="14">
        <v>0</v>
      </c>
      <c r="J541" s="15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5">
        <f t="shared" si="123"/>
        <v>1516000</v>
      </c>
    </row>
    <row r="542" spans="1:16" hidden="1">
      <c r="A542" s="6" t="s">
        <v>140</v>
      </c>
      <c r="B542" s="6" t="s">
        <v>214</v>
      </c>
      <c r="C542" s="64" t="s">
        <v>41</v>
      </c>
      <c r="D542" s="9" t="s">
        <v>138</v>
      </c>
      <c r="E542" s="10">
        <v>515120</v>
      </c>
      <c r="F542" s="11">
        <v>515120</v>
      </c>
      <c r="G542" s="11">
        <v>413048</v>
      </c>
      <c r="H542" s="11">
        <v>0</v>
      </c>
      <c r="I542" s="11">
        <v>0</v>
      </c>
      <c r="J542" s="10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0">
        <f t="shared" si="123"/>
        <v>515120</v>
      </c>
    </row>
    <row r="543" spans="1:16" ht="38.25" hidden="1">
      <c r="A543" s="6" t="s">
        <v>141</v>
      </c>
      <c r="B543" s="6" t="s">
        <v>42</v>
      </c>
      <c r="C543" s="64" t="s">
        <v>44</v>
      </c>
      <c r="D543" s="9" t="s">
        <v>142</v>
      </c>
      <c r="E543" s="10">
        <v>5280366</v>
      </c>
      <c r="F543" s="11">
        <v>5280366</v>
      </c>
      <c r="G543" s="11">
        <v>2762167</v>
      </c>
      <c r="H543" s="11">
        <v>836520</v>
      </c>
      <c r="I543" s="11">
        <v>0</v>
      </c>
      <c r="J543" s="10">
        <v>580000</v>
      </c>
      <c r="K543" s="11">
        <v>5000</v>
      </c>
      <c r="L543" s="11">
        <v>0</v>
      </c>
      <c r="M543" s="11">
        <v>0</v>
      </c>
      <c r="N543" s="11">
        <v>575000</v>
      </c>
      <c r="O543" s="11">
        <v>575000</v>
      </c>
      <c r="P543" s="10">
        <f t="shared" si="123"/>
        <v>5860366</v>
      </c>
    </row>
    <row r="544" spans="1:16" ht="25.5" hidden="1">
      <c r="A544" s="6" t="s">
        <v>215</v>
      </c>
      <c r="B544" s="6" t="s">
        <v>216</v>
      </c>
      <c r="C544" s="8"/>
      <c r="D544" s="9" t="s">
        <v>217</v>
      </c>
      <c r="E544" s="10">
        <v>50000</v>
      </c>
      <c r="F544" s="11">
        <v>50000</v>
      </c>
      <c r="G544" s="11">
        <v>0</v>
      </c>
      <c r="H544" s="11">
        <v>0</v>
      </c>
      <c r="I544" s="11">
        <v>0</v>
      </c>
      <c r="J544" s="10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0">
        <f t="shared" si="123"/>
        <v>50000</v>
      </c>
    </row>
    <row r="545" spans="1:16" hidden="1">
      <c r="A545" s="12" t="s">
        <v>180</v>
      </c>
      <c r="B545" s="12" t="s">
        <v>218</v>
      </c>
      <c r="C545" s="13" t="s">
        <v>144</v>
      </c>
      <c r="D545" s="65" t="s">
        <v>179</v>
      </c>
      <c r="E545" s="15">
        <v>50000</v>
      </c>
      <c r="F545" s="14">
        <v>50000</v>
      </c>
      <c r="G545" s="14">
        <v>0</v>
      </c>
      <c r="H545" s="14">
        <v>0</v>
      </c>
      <c r="I545" s="14">
        <v>0</v>
      </c>
      <c r="J545" s="15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5">
        <f t="shared" si="123"/>
        <v>50000</v>
      </c>
    </row>
    <row r="546" spans="1:16" ht="25.5" hidden="1">
      <c r="A546" s="6" t="s">
        <v>219</v>
      </c>
      <c r="B546" s="6" t="s">
        <v>220</v>
      </c>
      <c r="C546" s="8"/>
      <c r="D546" s="9" t="s">
        <v>221</v>
      </c>
      <c r="E546" s="10">
        <v>2700000</v>
      </c>
      <c r="F546" s="11">
        <v>2700000</v>
      </c>
      <c r="G546" s="11">
        <v>0</v>
      </c>
      <c r="H546" s="11">
        <v>0</v>
      </c>
      <c r="I546" s="11">
        <v>0</v>
      </c>
      <c r="J546" s="10">
        <v>517250</v>
      </c>
      <c r="K546" s="11">
        <v>0</v>
      </c>
      <c r="L546" s="11">
        <v>0</v>
      </c>
      <c r="M546" s="11">
        <v>0</v>
      </c>
      <c r="N546" s="11">
        <v>517250</v>
      </c>
      <c r="O546" s="11">
        <v>517250</v>
      </c>
      <c r="P546" s="10">
        <f t="shared" si="123"/>
        <v>3217250</v>
      </c>
    </row>
    <row r="547" spans="1:16" ht="38.25" hidden="1">
      <c r="A547" s="12" t="s">
        <v>146</v>
      </c>
      <c r="B547" s="12" t="s">
        <v>222</v>
      </c>
      <c r="C547" s="13" t="s">
        <v>49</v>
      </c>
      <c r="D547" s="65" t="s">
        <v>51</v>
      </c>
      <c r="E547" s="15">
        <v>2700000</v>
      </c>
      <c r="F547" s="14">
        <v>2700000</v>
      </c>
      <c r="G547" s="14">
        <v>0</v>
      </c>
      <c r="H547" s="14">
        <v>0</v>
      </c>
      <c r="I547" s="14">
        <v>0</v>
      </c>
      <c r="J547" s="15">
        <v>517250</v>
      </c>
      <c r="K547" s="14">
        <v>0</v>
      </c>
      <c r="L547" s="14">
        <v>0</v>
      </c>
      <c r="M547" s="14">
        <v>0</v>
      </c>
      <c r="N547" s="14">
        <v>517250</v>
      </c>
      <c r="O547" s="14">
        <v>517250</v>
      </c>
      <c r="P547" s="15">
        <f t="shared" si="123"/>
        <v>3217250</v>
      </c>
    </row>
    <row r="548" spans="1:16" hidden="1">
      <c r="A548" s="12"/>
      <c r="B548" s="12"/>
      <c r="C548" s="13"/>
      <c r="D548" s="45" t="s">
        <v>107</v>
      </c>
      <c r="E548" s="42">
        <f>F548+I548</f>
        <v>2700000</v>
      </c>
      <c r="F548" s="14">
        <v>2700000</v>
      </c>
      <c r="G548" s="14"/>
      <c r="H548" s="14"/>
      <c r="I548" s="14"/>
      <c r="J548" s="15">
        <v>517250</v>
      </c>
      <c r="K548" s="14"/>
      <c r="L548" s="14"/>
      <c r="M548" s="14"/>
      <c r="N548" s="14">
        <v>517250</v>
      </c>
      <c r="O548" s="14">
        <v>517250</v>
      </c>
      <c r="P548" s="15">
        <f t="shared" si="123"/>
        <v>3217250</v>
      </c>
    </row>
    <row r="549" spans="1:16" ht="25.5" hidden="1">
      <c r="A549" s="6" t="s">
        <v>223</v>
      </c>
      <c r="B549" s="6" t="s">
        <v>224</v>
      </c>
      <c r="C549" s="8"/>
      <c r="D549" s="9" t="s">
        <v>225</v>
      </c>
      <c r="E549" s="10">
        <v>366000</v>
      </c>
      <c r="F549" s="11">
        <v>366000</v>
      </c>
      <c r="G549" s="11">
        <v>0</v>
      </c>
      <c r="H549" s="11">
        <v>0</v>
      </c>
      <c r="I549" s="11">
        <v>0</v>
      </c>
      <c r="J549" s="10">
        <v>2486000</v>
      </c>
      <c r="K549" s="11">
        <v>0</v>
      </c>
      <c r="L549" s="11">
        <v>0</v>
      </c>
      <c r="M549" s="11">
        <v>0</v>
      </c>
      <c r="N549" s="11">
        <v>2486000</v>
      </c>
      <c r="O549" s="11">
        <v>2486000</v>
      </c>
      <c r="P549" s="10">
        <f t="shared" si="123"/>
        <v>2852000</v>
      </c>
    </row>
    <row r="550" spans="1:16" ht="25.5" hidden="1">
      <c r="A550" s="12" t="s">
        <v>149</v>
      </c>
      <c r="B550" s="12" t="s">
        <v>226</v>
      </c>
      <c r="C550" s="13" t="s">
        <v>54</v>
      </c>
      <c r="D550" s="65" t="s">
        <v>150</v>
      </c>
      <c r="E550" s="15">
        <v>366000</v>
      </c>
      <c r="F550" s="14">
        <v>366000</v>
      </c>
      <c r="G550" s="14">
        <v>0</v>
      </c>
      <c r="H550" s="14">
        <v>0</v>
      </c>
      <c r="I550" s="14">
        <v>0</v>
      </c>
      <c r="J550" s="15">
        <v>2486000</v>
      </c>
      <c r="K550" s="14">
        <v>0</v>
      </c>
      <c r="L550" s="14">
        <v>0</v>
      </c>
      <c r="M550" s="14">
        <v>0</v>
      </c>
      <c r="N550" s="14">
        <v>2486000</v>
      </c>
      <c r="O550" s="14">
        <v>2486000</v>
      </c>
      <c r="P550" s="15">
        <f t="shared" si="123"/>
        <v>2852000</v>
      </c>
    </row>
    <row r="551" spans="1:16" hidden="1">
      <c r="A551" s="12"/>
      <c r="B551" s="12"/>
      <c r="C551" s="13"/>
      <c r="D551" s="45" t="s">
        <v>109</v>
      </c>
      <c r="E551" s="15">
        <v>366000</v>
      </c>
      <c r="F551" s="14">
        <v>366000</v>
      </c>
      <c r="G551" s="14">
        <v>0</v>
      </c>
      <c r="H551" s="14">
        <v>0</v>
      </c>
      <c r="I551" s="14">
        <v>0</v>
      </c>
      <c r="J551" s="15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5">
        <f t="shared" si="123"/>
        <v>366000</v>
      </c>
    </row>
    <row r="552" spans="1:16" ht="51" hidden="1">
      <c r="A552" s="6" t="s">
        <v>147</v>
      </c>
      <c r="B552" s="6" t="s">
        <v>227</v>
      </c>
      <c r="C552" s="64" t="s">
        <v>54</v>
      </c>
      <c r="D552" s="9" t="s">
        <v>148</v>
      </c>
      <c r="E552" s="10">
        <v>1230000</v>
      </c>
      <c r="F552" s="11">
        <v>1230000</v>
      </c>
      <c r="G552" s="11">
        <v>0</v>
      </c>
      <c r="H552" s="11">
        <v>0</v>
      </c>
      <c r="I552" s="11">
        <v>0</v>
      </c>
      <c r="J552" s="10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0">
        <f t="shared" si="123"/>
        <v>1230000</v>
      </c>
    </row>
    <row r="553" spans="1:16" hidden="1">
      <c r="A553" s="6"/>
      <c r="B553" s="6"/>
      <c r="C553" s="64"/>
      <c r="D553" s="45" t="s">
        <v>109</v>
      </c>
      <c r="E553" s="22">
        <v>1230000</v>
      </c>
      <c r="F553" s="21">
        <v>1230000</v>
      </c>
      <c r="G553" s="21">
        <v>0</v>
      </c>
      <c r="H553" s="21">
        <v>0</v>
      </c>
      <c r="I553" s="21">
        <v>0</v>
      </c>
      <c r="J553" s="22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2">
        <f t="shared" si="123"/>
        <v>1230000</v>
      </c>
    </row>
    <row r="554" spans="1:16" hidden="1">
      <c r="A554" s="6" t="s">
        <v>151</v>
      </c>
      <c r="B554" s="6" t="s">
        <v>228</v>
      </c>
      <c r="C554" s="64" t="s">
        <v>54</v>
      </c>
      <c r="D554" s="9" t="s">
        <v>152</v>
      </c>
      <c r="E554" s="10">
        <v>7233530</v>
      </c>
      <c r="F554" s="11">
        <v>7233530</v>
      </c>
      <c r="G554" s="11">
        <v>0</v>
      </c>
      <c r="H554" s="11">
        <v>1283530</v>
      </c>
      <c r="I554" s="11">
        <v>0</v>
      </c>
      <c r="J554" s="10">
        <v>5801447</v>
      </c>
      <c r="K554" s="11">
        <v>0</v>
      </c>
      <c r="L554" s="11">
        <v>0</v>
      </c>
      <c r="M554" s="11">
        <v>0</v>
      </c>
      <c r="N554" s="11">
        <v>5801447</v>
      </c>
      <c r="O554" s="11">
        <v>5801447</v>
      </c>
      <c r="P554" s="10">
        <f t="shared" si="123"/>
        <v>13034977</v>
      </c>
    </row>
    <row r="555" spans="1:16" hidden="1">
      <c r="A555" s="6" t="s">
        <v>163</v>
      </c>
      <c r="B555" s="6" t="s">
        <v>229</v>
      </c>
      <c r="C555" s="64" t="s">
        <v>74</v>
      </c>
      <c r="D555" s="9" t="s">
        <v>230</v>
      </c>
      <c r="E555" s="10">
        <v>150000</v>
      </c>
      <c r="F555" s="11">
        <v>100000</v>
      </c>
      <c r="G555" s="11">
        <v>0</v>
      </c>
      <c r="H555" s="11">
        <v>0</v>
      </c>
      <c r="I555" s="11">
        <v>50000</v>
      </c>
      <c r="J555" s="10">
        <v>150000</v>
      </c>
      <c r="K555" s="11">
        <v>0</v>
      </c>
      <c r="L555" s="11">
        <v>0</v>
      </c>
      <c r="M555" s="11">
        <v>0</v>
      </c>
      <c r="N555" s="11">
        <v>150000</v>
      </c>
      <c r="O555" s="11">
        <v>150000</v>
      </c>
      <c r="P555" s="10">
        <f t="shared" si="123"/>
        <v>300000</v>
      </c>
    </row>
    <row r="556" spans="1:16" hidden="1">
      <c r="A556" s="6" t="s">
        <v>154</v>
      </c>
      <c r="B556" s="6" t="s">
        <v>231</v>
      </c>
      <c r="C556" s="8"/>
      <c r="D556" s="9" t="s">
        <v>232</v>
      </c>
      <c r="E556" s="10">
        <v>0</v>
      </c>
      <c r="F556" s="11">
        <v>0</v>
      </c>
      <c r="G556" s="11">
        <v>0</v>
      </c>
      <c r="H556" s="11">
        <v>0</v>
      </c>
      <c r="I556" s="11">
        <v>0</v>
      </c>
      <c r="J556" s="10">
        <v>5300000</v>
      </c>
      <c r="K556" s="11">
        <v>0</v>
      </c>
      <c r="L556" s="11">
        <v>0</v>
      </c>
      <c r="M556" s="11">
        <v>0</v>
      </c>
      <c r="N556" s="11">
        <v>5300000</v>
      </c>
      <c r="O556" s="11">
        <v>5300000</v>
      </c>
      <c r="P556" s="10">
        <f t="shared" si="123"/>
        <v>5300000</v>
      </c>
    </row>
    <row r="557" spans="1:16" ht="38.25" hidden="1">
      <c r="A557" s="12" t="s">
        <v>187</v>
      </c>
      <c r="B557" s="12" t="s">
        <v>233</v>
      </c>
      <c r="C557" s="13" t="s">
        <v>59</v>
      </c>
      <c r="D557" s="65" t="s">
        <v>234</v>
      </c>
      <c r="E557" s="15">
        <v>0</v>
      </c>
      <c r="F557" s="14">
        <v>0</v>
      </c>
      <c r="G557" s="14">
        <v>0</v>
      </c>
      <c r="H557" s="14">
        <v>0</v>
      </c>
      <c r="I557" s="14">
        <v>0</v>
      </c>
      <c r="J557" s="15">
        <v>5300000</v>
      </c>
      <c r="K557" s="14">
        <v>0</v>
      </c>
      <c r="L557" s="14">
        <v>0</v>
      </c>
      <c r="M557" s="14">
        <v>0</v>
      </c>
      <c r="N557" s="14">
        <v>5300000</v>
      </c>
      <c r="O557" s="14">
        <v>5300000</v>
      </c>
      <c r="P557" s="15">
        <f t="shared" si="123"/>
        <v>5300000</v>
      </c>
    </row>
    <row r="558" spans="1:16" ht="25.5" hidden="1">
      <c r="A558" s="6" t="s">
        <v>158</v>
      </c>
      <c r="B558" s="6" t="s">
        <v>235</v>
      </c>
      <c r="C558" s="8"/>
      <c r="D558" s="9" t="s">
        <v>159</v>
      </c>
      <c r="E558" s="10">
        <v>1365000</v>
      </c>
      <c r="F558" s="11">
        <v>1365000</v>
      </c>
      <c r="G558" s="11">
        <v>0</v>
      </c>
      <c r="H558" s="11">
        <v>0</v>
      </c>
      <c r="I558" s="11">
        <v>0</v>
      </c>
      <c r="J558" s="10">
        <v>2525000</v>
      </c>
      <c r="K558" s="11">
        <v>0</v>
      </c>
      <c r="L558" s="11">
        <v>0</v>
      </c>
      <c r="M558" s="11">
        <v>0</v>
      </c>
      <c r="N558" s="11">
        <v>2525000</v>
      </c>
      <c r="O558" s="11">
        <v>2525000</v>
      </c>
      <c r="P558" s="10">
        <f t="shared" si="123"/>
        <v>3890000</v>
      </c>
    </row>
    <row r="559" spans="1:16" ht="25.5" hidden="1">
      <c r="A559" s="12" t="s">
        <v>186</v>
      </c>
      <c r="B559" s="12" t="s">
        <v>236</v>
      </c>
      <c r="C559" s="13" t="s">
        <v>64</v>
      </c>
      <c r="D559" s="65" t="s">
        <v>237</v>
      </c>
      <c r="E559" s="15">
        <v>1365000</v>
      </c>
      <c r="F559" s="14">
        <v>1365000</v>
      </c>
      <c r="G559" s="14">
        <v>0</v>
      </c>
      <c r="H559" s="14">
        <v>0</v>
      </c>
      <c r="I559" s="14">
        <v>0</v>
      </c>
      <c r="J559" s="15">
        <v>2525000</v>
      </c>
      <c r="K559" s="14">
        <v>0</v>
      </c>
      <c r="L559" s="14">
        <v>0</v>
      </c>
      <c r="M559" s="14">
        <v>0</v>
      </c>
      <c r="N559" s="14">
        <v>2525000</v>
      </c>
      <c r="O559" s="14">
        <v>2525000</v>
      </c>
      <c r="P559" s="15">
        <f t="shared" si="123"/>
        <v>3890000</v>
      </c>
    </row>
    <row r="560" spans="1:16" ht="25.5" hidden="1">
      <c r="A560" s="6" t="s">
        <v>166</v>
      </c>
      <c r="B560" s="6" t="s">
        <v>238</v>
      </c>
      <c r="C560" s="64" t="s">
        <v>59</v>
      </c>
      <c r="D560" s="9" t="s">
        <v>239</v>
      </c>
      <c r="E560" s="10">
        <v>0</v>
      </c>
      <c r="F560" s="11">
        <v>0</v>
      </c>
      <c r="G560" s="11">
        <v>0</v>
      </c>
      <c r="H560" s="11">
        <v>0</v>
      </c>
      <c r="I560" s="11">
        <v>0</v>
      </c>
      <c r="J560" s="10">
        <v>1600000</v>
      </c>
      <c r="K560" s="11">
        <v>0</v>
      </c>
      <c r="L560" s="11">
        <v>0</v>
      </c>
      <c r="M560" s="11">
        <v>0</v>
      </c>
      <c r="N560" s="11">
        <v>1600000</v>
      </c>
      <c r="O560" s="11">
        <v>1600000</v>
      </c>
      <c r="P560" s="10">
        <f t="shared" si="123"/>
        <v>1600000</v>
      </c>
    </row>
    <row r="561" spans="1:16" hidden="1">
      <c r="A561" s="6"/>
      <c r="B561" s="6"/>
      <c r="C561" s="64"/>
      <c r="D561" s="45" t="s">
        <v>109</v>
      </c>
      <c r="E561" s="22">
        <v>0</v>
      </c>
      <c r="F561" s="21">
        <v>0</v>
      </c>
      <c r="G561" s="21">
        <v>0</v>
      </c>
      <c r="H561" s="21">
        <v>0</v>
      </c>
      <c r="I561" s="21">
        <v>0</v>
      </c>
      <c r="J561" s="22">
        <v>1000000</v>
      </c>
      <c r="K561" s="21">
        <v>0</v>
      </c>
      <c r="L561" s="21">
        <v>0</v>
      </c>
      <c r="M561" s="21">
        <v>0</v>
      </c>
      <c r="N561" s="21">
        <v>1000000</v>
      </c>
      <c r="O561" s="21">
        <v>1000000</v>
      </c>
      <c r="P561" s="22">
        <f t="shared" si="123"/>
        <v>1000000</v>
      </c>
    </row>
    <row r="562" spans="1:16" hidden="1">
      <c r="A562" s="6"/>
      <c r="B562" s="6"/>
      <c r="C562" s="64"/>
      <c r="D562" s="45" t="s">
        <v>111</v>
      </c>
      <c r="E562" s="22">
        <v>0</v>
      </c>
      <c r="F562" s="21">
        <v>0</v>
      </c>
      <c r="G562" s="21">
        <v>0</v>
      </c>
      <c r="H562" s="21">
        <v>0</v>
      </c>
      <c r="I562" s="21">
        <v>0</v>
      </c>
      <c r="J562" s="22">
        <v>600000</v>
      </c>
      <c r="K562" s="21">
        <v>0</v>
      </c>
      <c r="L562" s="21">
        <v>0</v>
      </c>
      <c r="M562" s="21">
        <v>0</v>
      </c>
      <c r="N562" s="21">
        <v>600000</v>
      </c>
      <c r="O562" s="21">
        <v>600000</v>
      </c>
      <c r="P562" s="22">
        <f t="shared" si="123"/>
        <v>600000</v>
      </c>
    </row>
    <row r="563" spans="1:16" hidden="1">
      <c r="A563" s="6" t="s">
        <v>240</v>
      </c>
      <c r="B563" s="6" t="s">
        <v>241</v>
      </c>
      <c r="C563" s="8"/>
      <c r="D563" s="9" t="s">
        <v>242</v>
      </c>
      <c r="E563" s="10">
        <v>0</v>
      </c>
      <c r="F563" s="11">
        <v>0</v>
      </c>
      <c r="G563" s="11">
        <v>0</v>
      </c>
      <c r="H563" s="11">
        <v>0</v>
      </c>
      <c r="I563" s="11">
        <v>0</v>
      </c>
      <c r="J563" s="10">
        <v>1400000</v>
      </c>
      <c r="K563" s="11">
        <v>0</v>
      </c>
      <c r="L563" s="11">
        <v>0</v>
      </c>
      <c r="M563" s="11">
        <v>0</v>
      </c>
      <c r="N563" s="11">
        <v>1400000</v>
      </c>
      <c r="O563" s="11">
        <v>0</v>
      </c>
      <c r="P563" s="10">
        <f t="shared" si="123"/>
        <v>1400000</v>
      </c>
    </row>
    <row r="564" spans="1:16" ht="89.25" hidden="1">
      <c r="A564" s="12" t="s">
        <v>191</v>
      </c>
      <c r="B564" s="12" t="s">
        <v>243</v>
      </c>
      <c r="C564" s="13" t="s">
        <v>59</v>
      </c>
      <c r="D564" s="65" t="s">
        <v>244</v>
      </c>
      <c r="E564" s="15">
        <v>0</v>
      </c>
      <c r="F564" s="14">
        <v>0</v>
      </c>
      <c r="G564" s="14">
        <v>0</v>
      </c>
      <c r="H564" s="14">
        <v>0</v>
      </c>
      <c r="I564" s="14">
        <v>0</v>
      </c>
      <c r="J564" s="15">
        <v>1400000</v>
      </c>
      <c r="K564" s="14">
        <v>0</v>
      </c>
      <c r="L564" s="14">
        <v>0</v>
      </c>
      <c r="M564" s="14">
        <v>0</v>
      </c>
      <c r="N564" s="14">
        <v>1400000</v>
      </c>
      <c r="O564" s="14">
        <v>0</v>
      </c>
      <c r="P564" s="15">
        <f t="shared" si="123"/>
        <v>1400000</v>
      </c>
    </row>
    <row r="565" spans="1:16" ht="25.5" hidden="1">
      <c r="A565" s="6" t="s">
        <v>245</v>
      </c>
      <c r="B565" s="6" t="s">
        <v>246</v>
      </c>
      <c r="C565" s="8"/>
      <c r="D565" s="9" t="s">
        <v>247</v>
      </c>
      <c r="E565" s="10">
        <v>0</v>
      </c>
      <c r="F565" s="11">
        <v>0</v>
      </c>
      <c r="G565" s="11">
        <v>0</v>
      </c>
      <c r="H565" s="11">
        <v>0</v>
      </c>
      <c r="I565" s="11">
        <v>0</v>
      </c>
      <c r="J565" s="10">
        <v>2000</v>
      </c>
      <c r="K565" s="11">
        <v>2000</v>
      </c>
      <c r="L565" s="11">
        <v>0</v>
      </c>
      <c r="M565" s="11">
        <v>0</v>
      </c>
      <c r="N565" s="11">
        <v>0</v>
      </c>
      <c r="O565" s="11">
        <v>0</v>
      </c>
      <c r="P565" s="10">
        <f t="shared" si="123"/>
        <v>2000</v>
      </c>
    </row>
    <row r="566" spans="1:16" ht="25.5" hidden="1">
      <c r="A566" s="12" t="s">
        <v>169</v>
      </c>
      <c r="B566" s="12" t="s">
        <v>248</v>
      </c>
      <c r="C566" s="13" t="s">
        <v>79</v>
      </c>
      <c r="D566" s="65" t="s">
        <v>90</v>
      </c>
      <c r="E566" s="15">
        <v>0</v>
      </c>
      <c r="F566" s="14">
        <v>0</v>
      </c>
      <c r="G566" s="14">
        <v>0</v>
      </c>
      <c r="H566" s="14">
        <v>0</v>
      </c>
      <c r="I566" s="14">
        <v>0</v>
      </c>
      <c r="J566" s="15">
        <v>2000</v>
      </c>
      <c r="K566" s="14">
        <v>2000</v>
      </c>
      <c r="L566" s="14">
        <v>0</v>
      </c>
      <c r="M566" s="14">
        <v>0</v>
      </c>
      <c r="N566" s="14">
        <v>0</v>
      </c>
      <c r="O566" s="14">
        <v>0</v>
      </c>
      <c r="P566" s="15">
        <f t="shared" si="123"/>
        <v>2000</v>
      </c>
    </row>
    <row r="567" spans="1:16" ht="25.5" hidden="1">
      <c r="A567" s="6" t="s">
        <v>170</v>
      </c>
      <c r="B567" s="6" t="s">
        <v>249</v>
      </c>
      <c r="C567" s="64" t="s">
        <v>171</v>
      </c>
      <c r="D567" s="9" t="s">
        <v>172</v>
      </c>
      <c r="E567" s="10">
        <v>0</v>
      </c>
      <c r="F567" s="11">
        <v>0</v>
      </c>
      <c r="G567" s="11">
        <v>0</v>
      </c>
      <c r="H567" s="11">
        <v>0</v>
      </c>
      <c r="I567" s="11">
        <v>0</v>
      </c>
      <c r="J567" s="10">
        <v>916000</v>
      </c>
      <c r="K567" s="11">
        <v>916000</v>
      </c>
      <c r="L567" s="11">
        <v>0</v>
      </c>
      <c r="M567" s="11">
        <v>0</v>
      </c>
      <c r="N567" s="11">
        <v>0</v>
      </c>
      <c r="O567" s="11">
        <v>0</v>
      </c>
      <c r="P567" s="10">
        <f t="shared" si="123"/>
        <v>916000</v>
      </c>
    </row>
    <row r="568" spans="1:16" hidden="1">
      <c r="A568" s="6" t="s">
        <v>160</v>
      </c>
      <c r="B568" s="6" t="s">
        <v>250</v>
      </c>
      <c r="C568" s="64" t="s">
        <v>69</v>
      </c>
      <c r="D568" s="9" t="s">
        <v>161</v>
      </c>
      <c r="E568" s="10">
        <v>156552</v>
      </c>
      <c r="F568" s="11">
        <v>156552</v>
      </c>
      <c r="G568" s="11">
        <v>0</v>
      </c>
      <c r="H568" s="11">
        <v>0</v>
      </c>
      <c r="I568" s="11">
        <v>0</v>
      </c>
      <c r="J568" s="10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0">
        <f t="shared" si="123"/>
        <v>156552</v>
      </c>
    </row>
    <row r="569" spans="1:16" hidden="1">
      <c r="A569" s="6"/>
      <c r="B569" s="6"/>
      <c r="C569" s="64"/>
      <c r="D569" s="45" t="s">
        <v>111</v>
      </c>
      <c r="E569" s="22">
        <v>156552</v>
      </c>
      <c r="F569" s="21">
        <v>156552</v>
      </c>
      <c r="G569" s="21">
        <v>0</v>
      </c>
      <c r="H569" s="21">
        <v>0</v>
      </c>
      <c r="I569" s="21">
        <v>0</v>
      </c>
      <c r="J569" s="22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10">
        <f t="shared" si="123"/>
        <v>156552</v>
      </c>
    </row>
    <row r="570" spans="1:16" ht="38.25" hidden="1">
      <c r="A570" s="6" t="s">
        <v>173</v>
      </c>
      <c r="B570" s="6" t="s">
        <v>251</v>
      </c>
      <c r="C570" s="64" t="s">
        <v>114</v>
      </c>
      <c r="D570" s="9" t="s">
        <v>252</v>
      </c>
      <c r="E570" s="10">
        <v>5050000</v>
      </c>
      <c r="F570" s="11">
        <v>5050000</v>
      </c>
      <c r="G570" s="11">
        <v>0</v>
      </c>
      <c r="H570" s="11">
        <v>0</v>
      </c>
      <c r="I570" s="11">
        <v>0</v>
      </c>
      <c r="J570" s="10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0">
        <f t="shared" si="123"/>
        <v>5050000</v>
      </c>
    </row>
    <row r="571" spans="1:16" hidden="1">
      <c r="A571" s="6" t="s">
        <v>253</v>
      </c>
      <c r="B571" s="6" t="s">
        <v>254</v>
      </c>
      <c r="C571" s="64" t="s">
        <v>114</v>
      </c>
      <c r="D571" s="9" t="s">
        <v>255</v>
      </c>
      <c r="E571" s="10">
        <v>230500</v>
      </c>
      <c r="F571" s="11">
        <v>230500</v>
      </c>
      <c r="G571" s="11">
        <v>0</v>
      </c>
      <c r="H571" s="11">
        <v>0</v>
      </c>
      <c r="I571" s="11">
        <v>0</v>
      </c>
      <c r="J571" s="10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0">
        <f t="shared" si="123"/>
        <v>230500</v>
      </c>
    </row>
    <row r="572" spans="1:16" ht="38.25" hidden="1">
      <c r="A572" s="6" t="s">
        <v>256</v>
      </c>
      <c r="B572" s="6" t="s">
        <v>257</v>
      </c>
      <c r="C572" s="64" t="s">
        <v>114</v>
      </c>
      <c r="D572" s="9" t="s">
        <v>258</v>
      </c>
      <c r="E572" s="10">
        <v>390000</v>
      </c>
      <c r="F572" s="11">
        <v>390000</v>
      </c>
      <c r="G572" s="11">
        <v>0</v>
      </c>
      <c r="H572" s="11">
        <v>0</v>
      </c>
      <c r="I572" s="11">
        <v>0</v>
      </c>
      <c r="J572" s="10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0">
        <f t="shared" si="123"/>
        <v>390000</v>
      </c>
    </row>
    <row r="573" spans="1:16" hidden="1">
      <c r="A573" s="16"/>
      <c r="B573" s="17" t="s">
        <v>93</v>
      </c>
      <c r="C573" s="18"/>
      <c r="D573" s="10" t="s">
        <v>10</v>
      </c>
      <c r="E573" s="10">
        <f t="shared" ref="E573:P573" si="124">E527</f>
        <v>67408262</v>
      </c>
      <c r="F573" s="10">
        <f t="shared" si="124"/>
        <v>67358262</v>
      </c>
      <c r="G573" s="10">
        <f t="shared" si="124"/>
        <v>28309826</v>
      </c>
      <c r="H573" s="10">
        <f t="shared" si="124"/>
        <v>7096678</v>
      </c>
      <c r="I573" s="10">
        <f t="shared" si="124"/>
        <v>50000</v>
      </c>
      <c r="J573" s="10">
        <f t="shared" si="124"/>
        <v>22555638</v>
      </c>
      <c r="K573" s="10">
        <f t="shared" si="124"/>
        <v>1088000</v>
      </c>
      <c r="L573" s="10">
        <f t="shared" si="124"/>
        <v>0</v>
      </c>
      <c r="M573" s="10">
        <f t="shared" si="124"/>
        <v>0</v>
      </c>
      <c r="N573" s="10">
        <f t="shared" si="124"/>
        <v>21467638</v>
      </c>
      <c r="O573" s="10">
        <f t="shared" si="124"/>
        <v>20067638</v>
      </c>
      <c r="P573" s="10">
        <f t="shared" si="124"/>
        <v>89963900</v>
      </c>
    </row>
    <row r="574" spans="1:16" hidden="1"/>
    <row r="575" spans="1:16" hidden="1"/>
    <row r="576" spans="1:16" hidden="1">
      <c r="B576" s="2" t="s">
        <v>259</v>
      </c>
      <c r="I576" s="2" t="s">
        <v>178</v>
      </c>
    </row>
    <row r="577" spans="1:16" hidden="1"/>
    <row r="578" spans="1:16" hidden="1"/>
    <row r="579" spans="1:16" hidden="1">
      <c r="A579" t="s">
        <v>193</v>
      </c>
      <c r="M579" s="91" t="s">
        <v>261</v>
      </c>
      <c r="N579" s="91"/>
      <c r="O579" s="91"/>
      <c r="P579" s="91"/>
    </row>
    <row r="580" spans="1:16" hidden="1">
      <c r="M580" s="91"/>
      <c r="N580" s="91"/>
      <c r="O580" s="91"/>
      <c r="P580" s="91"/>
    </row>
    <row r="581" spans="1:16" hidden="1">
      <c r="M581" s="91"/>
      <c r="N581" s="91"/>
      <c r="O581" s="91"/>
      <c r="P581" s="91"/>
    </row>
    <row r="582" spans="1:16" ht="36.75" hidden="1" customHeight="1">
      <c r="M582" s="91"/>
      <c r="N582" s="91"/>
      <c r="O582" s="91"/>
      <c r="P582" s="91"/>
    </row>
    <row r="583" spans="1:16" hidden="1">
      <c r="A583" s="92" t="s">
        <v>2</v>
      </c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</row>
    <row r="584" spans="1:16" hidden="1">
      <c r="A584" s="92" t="s">
        <v>175</v>
      </c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</row>
    <row r="585" spans="1:16" hidden="1">
      <c r="P585" s="1" t="s">
        <v>4</v>
      </c>
    </row>
    <row r="586" spans="1:16" hidden="1">
      <c r="A586" s="94" t="s">
        <v>5</v>
      </c>
      <c r="B586" s="94" t="s">
        <v>6</v>
      </c>
      <c r="C586" s="94" t="s">
        <v>7</v>
      </c>
      <c r="D586" s="95" t="s">
        <v>8</v>
      </c>
      <c r="E586" s="95" t="s">
        <v>9</v>
      </c>
      <c r="F586" s="95"/>
      <c r="G586" s="95"/>
      <c r="H586" s="95"/>
      <c r="I586" s="95"/>
      <c r="J586" s="95" t="s">
        <v>16</v>
      </c>
      <c r="K586" s="95"/>
      <c r="L586" s="95"/>
      <c r="M586" s="95"/>
      <c r="N586" s="95"/>
      <c r="O586" s="95"/>
      <c r="P586" s="96" t="s">
        <v>194</v>
      </c>
    </row>
    <row r="587" spans="1:16" hidden="1">
      <c r="A587" s="95"/>
      <c r="B587" s="95"/>
      <c r="C587" s="95"/>
      <c r="D587" s="95"/>
      <c r="E587" s="96" t="s">
        <v>10</v>
      </c>
      <c r="F587" s="95" t="s">
        <v>11</v>
      </c>
      <c r="G587" s="95" t="s">
        <v>12</v>
      </c>
      <c r="H587" s="95"/>
      <c r="I587" s="95" t="s">
        <v>15</v>
      </c>
      <c r="J587" s="96" t="s">
        <v>10</v>
      </c>
      <c r="K587" s="95" t="s">
        <v>11</v>
      </c>
      <c r="L587" s="95" t="s">
        <v>12</v>
      </c>
      <c r="M587" s="95"/>
      <c r="N587" s="95" t="s">
        <v>15</v>
      </c>
      <c r="O587" s="66" t="s">
        <v>12</v>
      </c>
      <c r="P587" s="95"/>
    </row>
    <row r="588" spans="1:16" hidden="1">
      <c r="A588" s="95"/>
      <c r="B588" s="95"/>
      <c r="C588" s="95"/>
      <c r="D588" s="95"/>
      <c r="E588" s="95"/>
      <c r="F588" s="95"/>
      <c r="G588" s="95" t="s">
        <v>13</v>
      </c>
      <c r="H588" s="95" t="s">
        <v>14</v>
      </c>
      <c r="I588" s="95"/>
      <c r="J588" s="95"/>
      <c r="K588" s="95"/>
      <c r="L588" s="95" t="s">
        <v>13</v>
      </c>
      <c r="M588" s="95" t="s">
        <v>14</v>
      </c>
      <c r="N588" s="95"/>
      <c r="O588" s="95" t="s">
        <v>17</v>
      </c>
      <c r="P588" s="95"/>
    </row>
    <row r="589" spans="1:16" hidden="1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</row>
    <row r="590" spans="1:16" hidden="1">
      <c r="A590" s="66">
        <v>1</v>
      </c>
      <c r="B590" s="66">
        <v>2</v>
      </c>
      <c r="C590" s="66">
        <v>3</v>
      </c>
      <c r="D590" s="66">
        <v>4</v>
      </c>
      <c r="E590" s="67">
        <v>5</v>
      </c>
      <c r="F590" s="66">
        <v>6</v>
      </c>
      <c r="G590" s="66">
        <v>7</v>
      </c>
      <c r="H590" s="66">
        <v>8</v>
      </c>
      <c r="I590" s="66">
        <v>9</v>
      </c>
      <c r="J590" s="67">
        <v>10</v>
      </c>
      <c r="K590" s="66">
        <v>11</v>
      </c>
      <c r="L590" s="66">
        <v>12</v>
      </c>
      <c r="M590" s="66">
        <v>13</v>
      </c>
      <c r="N590" s="66">
        <v>14</v>
      </c>
      <c r="O590" s="66">
        <v>15</v>
      </c>
      <c r="P590" s="67">
        <v>16</v>
      </c>
    </row>
    <row r="591" spans="1:16" hidden="1">
      <c r="A591" s="6" t="s">
        <v>124</v>
      </c>
      <c r="B591" s="7"/>
      <c r="C591" s="8"/>
      <c r="D591" s="45" t="s">
        <v>182</v>
      </c>
      <c r="E591" s="10">
        <f>E593+E595+E597+E598+E601+E603+E604+E606+E607+E608+E610+E612+E615+E617+E619+E620+E622+E624+E625+E629+E631+E632+E633+E635+E636+E637+E594</f>
        <v>47196518</v>
      </c>
      <c r="F591" s="10">
        <f>F593+F595+F597+F598+F601+F603+F604+F606+F607+F608+F610+F612+F615+F617+F619+F620+F622+F624+F625+F629+F631+F632+F633+F635+F636+F637+F594</f>
        <v>47096518</v>
      </c>
      <c r="G591" s="10">
        <f>G593+G595+G597+G598+G601+G603+G604+G606+G607+G608+G610+G612+G615+G617+G619+G620+G622+G624+G625+G629+G631+G632+G633+G635+G636+G637+G594</f>
        <v>16673023</v>
      </c>
      <c r="H591" s="10">
        <f>H593+H595+H597+H598+H601+H603+H604+H606+H607+H608+H610+H612+H615+H617+H619+H620+H622+H624+H625+H629+H631+H632+H633+H635+H636+H637+H594</f>
        <v>3657001</v>
      </c>
      <c r="I591" s="10">
        <f>I593+I595+I597+I598+I601+I603+I604+I606+I607+I608+I610+I612+I615+I617+I619+I620+I622+I624+I625+I629+I631+I632+I633+I635+I636+I637+I594</f>
        <v>100000</v>
      </c>
      <c r="J591" s="10">
        <f t="shared" ref="J591:P591" si="125">J593+J595+J597+J598+J601+J603+J604+J606+J607+J608+J610+J612+J615+J617+J619+J620+J622+J624+J625+J629+J631+J632+J633+J635+J636+J637</f>
        <v>22256187</v>
      </c>
      <c r="K591" s="10">
        <f t="shared" si="125"/>
        <v>1158000</v>
      </c>
      <c r="L591" s="10">
        <f t="shared" si="125"/>
        <v>0</v>
      </c>
      <c r="M591" s="10">
        <f t="shared" si="125"/>
        <v>0</v>
      </c>
      <c r="N591" s="10">
        <f t="shared" si="125"/>
        <v>21098187</v>
      </c>
      <c r="O591" s="10">
        <f t="shared" si="125"/>
        <v>19698187</v>
      </c>
      <c r="P591" s="10">
        <f t="shared" si="125"/>
        <v>69221764</v>
      </c>
    </row>
    <row r="592" spans="1:16" hidden="1">
      <c r="A592" s="6" t="s">
        <v>125</v>
      </c>
      <c r="B592" s="7"/>
      <c r="C592" s="8"/>
      <c r="D592" s="45" t="s">
        <v>182</v>
      </c>
      <c r="E592" s="10">
        <f t="shared" ref="E592:P592" si="126">E591</f>
        <v>47196518</v>
      </c>
      <c r="F592" s="10">
        <f t="shared" si="126"/>
        <v>47096518</v>
      </c>
      <c r="G592" s="10">
        <f t="shared" si="126"/>
        <v>16673023</v>
      </c>
      <c r="H592" s="10">
        <f t="shared" si="126"/>
        <v>3657001</v>
      </c>
      <c r="I592" s="10">
        <f t="shared" si="126"/>
        <v>100000</v>
      </c>
      <c r="J592" s="10">
        <f t="shared" si="126"/>
        <v>22256187</v>
      </c>
      <c r="K592" s="10">
        <f t="shared" si="126"/>
        <v>1158000</v>
      </c>
      <c r="L592" s="10">
        <f t="shared" si="126"/>
        <v>0</v>
      </c>
      <c r="M592" s="10">
        <f t="shared" si="126"/>
        <v>0</v>
      </c>
      <c r="N592" s="10">
        <f t="shared" si="126"/>
        <v>21098187</v>
      </c>
      <c r="O592" s="10">
        <f t="shared" si="126"/>
        <v>19698187</v>
      </c>
      <c r="P592" s="10">
        <f t="shared" si="126"/>
        <v>69221764</v>
      </c>
    </row>
    <row r="593" spans="1:16" ht="63.75" hidden="1">
      <c r="A593" s="6" t="s">
        <v>126</v>
      </c>
      <c r="B593" s="6" t="s">
        <v>127</v>
      </c>
      <c r="C593" s="64" t="s">
        <v>23</v>
      </c>
      <c r="D593" s="9" t="s">
        <v>181</v>
      </c>
      <c r="E593" s="10">
        <v>12121608</v>
      </c>
      <c r="F593" s="11">
        <v>12121608</v>
      </c>
      <c r="G593" s="11">
        <v>7795315</v>
      </c>
      <c r="H593" s="11">
        <v>856886</v>
      </c>
      <c r="I593" s="11">
        <v>0</v>
      </c>
      <c r="J593" s="10">
        <v>235000</v>
      </c>
      <c r="K593" s="11">
        <v>35000</v>
      </c>
      <c r="L593" s="11">
        <v>0</v>
      </c>
      <c r="M593" s="11">
        <v>0</v>
      </c>
      <c r="N593" s="11">
        <v>200000</v>
      </c>
      <c r="O593" s="11">
        <v>200000</v>
      </c>
      <c r="P593" s="10">
        <f t="shared" ref="P593:P639" si="127">E593+J593</f>
        <v>12356608</v>
      </c>
    </row>
    <row r="594" spans="1:16" ht="38.25" hidden="1">
      <c r="A594" s="6" t="s">
        <v>262</v>
      </c>
      <c r="B594" s="6" t="s">
        <v>200</v>
      </c>
      <c r="C594" s="64" t="s">
        <v>23</v>
      </c>
      <c r="D594" s="11" t="s">
        <v>263</v>
      </c>
      <c r="E594" s="10">
        <v>230941</v>
      </c>
      <c r="F594" s="11">
        <v>230941</v>
      </c>
      <c r="G594" s="11">
        <v>189295</v>
      </c>
      <c r="H594" s="11">
        <v>0</v>
      </c>
      <c r="I594" s="11">
        <v>0</v>
      </c>
      <c r="J594" s="10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0">
        <f t="shared" si="127"/>
        <v>230941</v>
      </c>
    </row>
    <row r="595" spans="1:16" ht="38.25" hidden="1">
      <c r="A595" s="6" t="s">
        <v>195</v>
      </c>
      <c r="B595" s="6" t="s">
        <v>196</v>
      </c>
      <c r="C595" s="8"/>
      <c r="D595" s="9" t="s">
        <v>197</v>
      </c>
      <c r="E595" s="10">
        <v>95000</v>
      </c>
      <c r="F595" s="11">
        <v>95000</v>
      </c>
      <c r="G595" s="11">
        <v>62680</v>
      </c>
      <c r="H595" s="11">
        <v>0</v>
      </c>
      <c r="I595" s="11">
        <v>0</v>
      </c>
      <c r="J595" s="10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0">
        <f t="shared" si="127"/>
        <v>95000</v>
      </c>
    </row>
    <row r="596" spans="1:16" hidden="1">
      <c r="A596" s="12" t="s">
        <v>198</v>
      </c>
      <c r="B596" s="12" t="s">
        <v>199</v>
      </c>
      <c r="C596" s="13" t="s">
        <v>200</v>
      </c>
      <c r="D596" s="65" t="s">
        <v>201</v>
      </c>
      <c r="E596" s="15">
        <v>95000</v>
      </c>
      <c r="F596" s="14">
        <v>95000</v>
      </c>
      <c r="G596" s="14">
        <v>62680</v>
      </c>
      <c r="H596" s="14">
        <v>0</v>
      </c>
      <c r="I596" s="14">
        <v>0</v>
      </c>
      <c r="J596" s="15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5">
        <f t="shared" si="127"/>
        <v>95000</v>
      </c>
    </row>
    <row r="597" spans="1:16" hidden="1">
      <c r="A597" s="6" t="s">
        <v>128</v>
      </c>
      <c r="B597" s="6" t="s">
        <v>202</v>
      </c>
      <c r="C597" s="64" t="s">
        <v>129</v>
      </c>
      <c r="D597" s="9" t="s">
        <v>132</v>
      </c>
      <c r="E597" s="10">
        <v>910870</v>
      </c>
      <c r="F597" s="11">
        <v>910870</v>
      </c>
      <c r="G597" s="11">
        <v>416434</v>
      </c>
      <c r="H597" s="11">
        <v>146169</v>
      </c>
      <c r="I597" s="11">
        <v>0</v>
      </c>
      <c r="J597" s="10">
        <v>73490</v>
      </c>
      <c r="K597" s="11">
        <v>0</v>
      </c>
      <c r="L597" s="11">
        <v>0</v>
      </c>
      <c r="M597" s="11">
        <v>0</v>
      </c>
      <c r="N597" s="11">
        <v>73490</v>
      </c>
      <c r="O597" s="11">
        <v>73490</v>
      </c>
      <c r="P597" s="10">
        <f t="shared" si="127"/>
        <v>984360</v>
      </c>
    </row>
    <row r="598" spans="1:16" ht="63.75" hidden="1">
      <c r="A598" s="6" t="s">
        <v>130</v>
      </c>
      <c r="B598" s="6" t="s">
        <v>29</v>
      </c>
      <c r="C598" s="64" t="s">
        <v>28</v>
      </c>
      <c r="D598" s="9" t="s">
        <v>203</v>
      </c>
      <c r="E598" s="10">
        <v>5285167</v>
      </c>
      <c r="F598" s="11">
        <v>5285167</v>
      </c>
      <c r="G598" s="11">
        <v>3641361</v>
      </c>
      <c r="H598" s="11">
        <v>487396</v>
      </c>
      <c r="I598" s="11">
        <v>0</v>
      </c>
      <c r="J598" s="10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0">
        <f t="shared" si="127"/>
        <v>5285167</v>
      </c>
    </row>
    <row r="599" spans="1:16" ht="25.5" hidden="1">
      <c r="A599" s="6"/>
      <c r="B599" s="6"/>
      <c r="C599" s="64"/>
      <c r="D599" s="46" t="s">
        <v>133</v>
      </c>
      <c r="E599" s="42">
        <f>F599+I599</f>
        <v>13801200</v>
      </c>
      <c r="F599" s="14">
        <v>13801200</v>
      </c>
      <c r="G599" s="14">
        <v>11312500</v>
      </c>
      <c r="H599" s="11"/>
      <c r="I599" s="11"/>
      <c r="J599" s="10"/>
      <c r="K599" s="11"/>
      <c r="L599" s="11"/>
      <c r="M599" s="11"/>
      <c r="N599" s="11"/>
      <c r="O599" s="11"/>
      <c r="P599" s="10">
        <f t="shared" si="127"/>
        <v>13801200</v>
      </c>
    </row>
    <row r="600" spans="1:16" hidden="1">
      <c r="A600" s="6" t="s">
        <v>130</v>
      </c>
      <c r="B600" s="6">
        <v>1020</v>
      </c>
      <c r="C600" s="39" t="s">
        <v>28</v>
      </c>
      <c r="D600" s="45" t="s">
        <v>134</v>
      </c>
      <c r="E600" s="42">
        <f>F600+I600</f>
        <v>1437832</v>
      </c>
      <c r="F600" s="14">
        <v>1437832</v>
      </c>
      <c r="G600" s="14">
        <v>838321</v>
      </c>
      <c r="H600" s="14">
        <v>250242</v>
      </c>
      <c r="I600" s="11">
        <v>0</v>
      </c>
      <c r="J600" s="10"/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0">
        <f t="shared" si="127"/>
        <v>1437832</v>
      </c>
    </row>
    <row r="601" spans="1:16" ht="51" hidden="1">
      <c r="A601" s="6" t="s">
        <v>143</v>
      </c>
      <c r="B601" s="6" t="s">
        <v>204</v>
      </c>
      <c r="C601" s="64" t="s">
        <v>184</v>
      </c>
      <c r="D601" s="9" t="s">
        <v>145</v>
      </c>
      <c r="E601" s="10">
        <v>1714022</v>
      </c>
      <c r="F601" s="11">
        <v>1714022</v>
      </c>
      <c r="G601" s="11">
        <v>1351739</v>
      </c>
      <c r="H601" s="11">
        <v>46500</v>
      </c>
      <c r="I601" s="11">
        <v>0</v>
      </c>
      <c r="J601" s="10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0">
        <f t="shared" si="127"/>
        <v>1714022</v>
      </c>
    </row>
    <row r="602" spans="1:16" hidden="1">
      <c r="A602" s="6" t="s">
        <v>205</v>
      </c>
      <c r="B602" s="6" t="s">
        <v>206</v>
      </c>
      <c r="C602" s="8"/>
      <c r="D602" s="9" t="s">
        <v>207</v>
      </c>
      <c r="E602" s="10">
        <v>179742</v>
      </c>
      <c r="F602" s="11">
        <v>179742</v>
      </c>
      <c r="G602" s="11">
        <v>0</v>
      </c>
      <c r="H602" s="11">
        <v>0</v>
      </c>
      <c r="I602" s="11">
        <v>0</v>
      </c>
      <c r="J602" s="10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0">
        <f t="shared" si="127"/>
        <v>179742</v>
      </c>
    </row>
    <row r="603" spans="1:16" hidden="1">
      <c r="A603" s="12" t="s">
        <v>135</v>
      </c>
      <c r="B603" s="12" t="s">
        <v>208</v>
      </c>
      <c r="C603" s="13" t="s">
        <v>31</v>
      </c>
      <c r="D603" s="65" t="s">
        <v>136</v>
      </c>
      <c r="E603" s="15">
        <v>179742</v>
      </c>
      <c r="F603" s="14">
        <v>179742</v>
      </c>
      <c r="G603" s="14">
        <v>0</v>
      </c>
      <c r="H603" s="14">
        <v>0</v>
      </c>
      <c r="I603" s="14">
        <v>0</v>
      </c>
      <c r="J603" s="15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5">
        <f t="shared" si="127"/>
        <v>179742</v>
      </c>
    </row>
    <row r="604" spans="1:16" hidden="1">
      <c r="A604" s="6" t="s">
        <v>185</v>
      </c>
      <c r="B604" s="6" t="s">
        <v>209</v>
      </c>
      <c r="C604" s="64" t="s">
        <v>105</v>
      </c>
      <c r="D604" s="9" t="s">
        <v>106</v>
      </c>
      <c r="E604" s="10">
        <v>50000</v>
      </c>
      <c r="F604" s="11">
        <v>50000</v>
      </c>
      <c r="G604" s="11">
        <v>40984</v>
      </c>
      <c r="H604" s="11">
        <v>0</v>
      </c>
      <c r="I604" s="11">
        <v>0</v>
      </c>
      <c r="J604" s="10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0">
        <f t="shared" si="127"/>
        <v>50000</v>
      </c>
    </row>
    <row r="605" spans="1:16" hidden="1">
      <c r="A605" s="6" t="s">
        <v>210</v>
      </c>
      <c r="B605" s="6" t="s">
        <v>211</v>
      </c>
      <c r="C605" s="8"/>
      <c r="D605" s="9" t="s">
        <v>212</v>
      </c>
      <c r="E605" s="10">
        <v>1516000</v>
      </c>
      <c r="F605" s="11">
        <v>1516000</v>
      </c>
      <c r="G605" s="11">
        <v>0</v>
      </c>
      <c r="H605" s="11">
        <v>0</v>
      </c>
      <c r="I605" s="11">
        <v>0</v>
      </c>
      <c r="J605" s="10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0">
        <f t="shared" si="127"/>
        <v>1516000</v>
      </c>
    </row>
    <row r="606" spans="1:16" ht="25.5" hidden="1">
      <c r="A606" s="12" t="s">
        <v>139</v>
      </c>
      <c r="B606" s="12" t="s">
        <v>213</v>
      </c>
      <c r="C606" s="13" t="s">
        <v>36</v>
      </c>
      <c r="D606" s="65" t="s">
        <v>137</v>
      </c>
      <c r="E606" s="15">
        <v>1516000</v>
      </c>
      <c r="F606" s="14">
        <v>1516000</v>
      </c>
      <c r="G606" s="14">
        <v>0</v>
      </c>
      <c r="H606" s="14">
        <v>0</v>
      </c>
      <c r="I606" s="14">
        <v>0</v>
      </c>
      <c r="J606" s="15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5">
        <f t="shared" si="127"/>
        <v>1516000</v>
      </c>
    </row>
    <row r="607" spans="1:16" hidden="1">
      <c r="A607" s="6" t="s">
        <v>140</v>
      </c>
      <c r="B607" s="6" t="s">
        <v>214</v>
      </c>
      <c r="C607" s="64" t="s">
        <v>41</v>
      </c>
      <c r="D607" s="9" t="s">
        <v>138</v>
      </c>
      <c r="E607" s="10">
        <v>515120</v>
      </c>
      <c r="F607" s="11">
        <v>515120</v>
      </c>
      <c r="G607" s="11">
        <v>413048</v>
      </c>
      <c r="H607" s="11">
        <v>0</v>
      </c>
      <c r="I607" s="11">
        <v>0</v>
      </c>
      <c r="J607" s="10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0">
        <f t="shared" si="127"/>
        <v>515120</v>
      </c>
    </row>
    <row r="608" spans="1:16" ht="38.25" hidden="1">
      <c r="A608" s="6" t="s">
        <v>141</v>
      </c>
      <c r="B608" s="6" t="s">
        <v>42</v>
      </c>
      <c r="C608" s="64" t="s">
        <v>44</v>
      </c>
      <c r="D608" s="9" t="s">
        <v>142</v>
      </c>
      <c r="E608" s="10">
        <v>5289766</v>
      </c>
      <c r="F608" s="11">
        <v>5289766</v>
      </c>
      <c r="G608" s="11">
        <v>2762167</v>
      </c>
      <c r="H608" s="11">
        <v>836520</v>
      </c>
      <c r="I608" s="11">
        <v>0</v>
      </c>
      <c r="J608" s="10">
        <v>780000</v>
      </c>
      <c r="K608" s="11">
        <v>5000</v>
      </c>
      <c r="L608" s="11">
        <v>0</v>
      </c>
      <c r="M608" s="11">
        <v>0</v>
      </c>
      <c r="N608" s="11">
        <v>775000</v>
      </c>
      <c r="O608" s="11">
        <v>775000</v>
      </c>
      <c r="P608" s="10">
        <f t="shared" si="127"/>
        <v>6069766</v>
      </c>
    </row>
    <row r="609" spans="1:16" ht="25.5" hidden="1">
      <c r="A609" s="6" t="s">
        <v>215</v>
      </c>
      <c r="B609" s="6" t="s">
        <v>216</v>
      </c>
      <c r="C609" s="8"/>
      <c r="D609" s="9" t="s">
        <v>217</v>
      </c>
      <c r="E609" s="10">
        <v>50000</v>
      </c>
      <c r="F609" s="11">
        <v>50000</v>
      </c>
      <c r="G609" s="11">
        <v>0</v>
      </c>
      <c r="H609" s="11">
        <v>0</v>
      </c>
      <c r="I609" s="11">
        <v>0</v>
      </c>
      <c r="J609" s="10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0">
        <f t="shared" si="127"/>
        <v>50000</v>
      </c>
    </row>
    <row r="610" spans="1:16" hidden="1">
      <c r="A610" s="12" t="s">
        <v>180</v>
      </c>
      <c r="B610" s="12" t="s">
        <v>218</v>
      </c>
      <c r="C610" s="13" t="s">
        <v>144</v>
      </c>
      <c r="D610" s="65" t="s">
        <v>179</v>
      </c>
      <c r="E610" s="15">
        <v>50000</v>
      </c>
      <c r="F610" s="14">
        <v>50000</v>
      </c>
      <c r="G610" s="14">
        <v>0</v>
      </c>
      <c r="H610" s="14">
        <v>0</v>
      </c>
      <c r="I610" s="14">
        <v>0</v>
      </c>
      <c r="J610" s="15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5">
        <f t="shared" si="127"/>
        <v>50000</v>
      </c>
    </row>
    <row r="611" spans="1:16" ht="25.5" hidden="1">
      <c r="A611" s="6" t="s">
        <v>219</v>
      </c>
      <c r="B611" s="6" t="s">
        <v>220</v>
      </c>
      <c r="C611" s="8"/>
      <c r="D611" s="9" t="s">
        <v>221</v>
      </c>
      <c r="E611" s="10">
        <v>2700000</v>
      </c>
      <c r="F611" s="11">
        <v>2700000</v>
      </c>
      <c r="G611" s="11">
        <v>0</v>
      </c>
      <c r="H611" s="11">
        <v>0</v>
      </c>
      <c r="I611" s="11">
        <v>0</v>
      </c>
      <c r="J611" s="10">
        <v>517250</v>
      </c>
      <c r="K611" s="11">
        <v>0</v>
      </c>
      <c r="L611" s="11">
        <v>0</v>
      </c>
      <c r="M611" s="11">
        <v>0</v>
      </c>
      <c r="N611" s="11">
        <v>517250</v>
      </c>
      <c r="O611" s="11">
        <v>517250</v>
      </c>
      <c r="P611" s="10">
        <f t="shared" si="127"/>
        <v>3217250</v>
      </c>
    </row>
    <row r="612" spans="1:16" ht="38.25" hidden="1">
      <c r="A612" s="12" t="s">
        <v>146</v>
      </c>
      <c r="B612" s="12" t="s">
        <v>222</v>
      </c>
      <c r="C612" s="13" t="s">
        <v>49</v>
      </c>
      <c r="D612" s="65" t="s">
        <v>51</v>
      </c>
      <c r="E612" s="15">
        <v>2700000</v>
      </c>
      <c r="F612" s="14">
        <v>2700000</v>
      </c>
      <c r="G612" s="14">
        <v>0</v>
      </c>
      <c r="H612" s="14">
        <v>0</v>
      </c>
      <c r="I612" s="14">
        <v>0</v>
      </c>
      <c r="J612" s="15">
        <v>517250</v>
      </c>
      <c r="K612" s="14">
        <v>0</v>
      </c>
      <c r="L612" s="14">
        <v>0</v>
      </c>
      <c r="M612" s="14">
        <v>0</v>
      </c>
      <c r="N612" s="14">
        <v>517250</v>
      </c>
      <c r="O612" s="14">
        <v>517250</v>
      </c>
      <c r="P612" s="15">
        <f t="shared" si="127"/>
        <v>3217250</v>
      </c>
    </row>
    <row r="613" spans="1:16" hidden="1">
      <c r="A613" s="12"/>
      <c r="B613" s="12"/>
      <c r="C613" s="13"/>
      <c r="D613" s="45" t="s">
        <v>107</v>
      </c>
      <c r="E613" s="42">
        <f>F613+I613</f>
        <v>2700000</v>
      </c>
      <c r="F613" s="14">
        <v>2700000</v>
      </c>
      <c r="G613" s="14"/>
      <c r="H613" s="14"/>
      <c r="I613" s="14"/>
      <c r="J613" s="15">
        <v>517250</v>
      </c>
      <c r="K613" s="14"/>
      <c r="L613" s="14"/>
      <c r="M613" s="14"/>
      <c r="N613" s="14">
        <v>517250</v>
      </c>
      <c r="O613" s="14">
        <v>517250</v>
      </c>
      <c r="P613" s="15">
        <f t="shared" si="127"/>
        <v>3217250</v>
      </c>
    </row>
    <row r="614" spans="1:16" ht="25.5" hidden="1">
      <c r="A614" s="6" t="s">
        <v>223</v>
      </c>
      <c r="B614" s="6" t="s">
        <v>224</v>
      </c>
      <c r="C614" s="8"/>
      <c r="D614" s="9" t="s">
        <v>225</v>
      </c>
      <c r="E614" s="10">
        <v>100000</v>
      </c>
      <c r="F614" s="11">
        <v>100000</v>
      </c>
      <c r="G614" s="11">
        <v>0</v>
      </c>
      <c r="H614" s="11">
        <v>0</v>
      </c>
      <c r="I614" s="11">
        <v>0</v>
      </c>
      <c r="J614" s="10">
        <v>2486000</v>
      </c>
      <c r="K614" s="11">
        <v>0</v>
      </c>
      <c r="L614" s="11">
        <v>0</v>
      </c>
      <c r="M614" s="11">
        <v>0</v>
      </c>
      <c r="N614" s="11">
        <v>2486000</v>
      </c>
      <c r="O614" s="11">
        <v>2486000</v>
      </c>
      <c r="P614" s="10">
        <f t="shared" si="127"/>
        <v>2586000</v>
      </c>
    </row>
    <row r="615" spans="1:16" ht="25.5" hidden="1">
      <c r="A615" s="12" t="s">
        <v>149</v>
      </c>
      <c r="B615" s="12" t="s">
        <v>226</v>
      </c>
      <c r="C615" s="13" t="s">
        <v>54</v>
      </c>
      <c r="D615" s="65" t="s">
        <v>150</v>
      </c>
      <c r="E615" s="15">
        <v>100000</v>
      </c>
      <c r="F615" s="14">
        <v>100000</v>
      </c>
      <c r="G615" s="14">
        <v>0</v>
      </c>
      <c r="H615" s="14">
        <v>0</v>
      </c>
      <c r="I615" s="14">
        <v>0</v>
      </c>
      <c r="J615" s="15">
        <v>2486000</v>
      </c>
      <c r="K615" s="14">
        <v>0</v>
      </c>
      <c r="L615" s="14">
        <v>0</v>
      </c>
      <c r="M615" s="14">
        <v>0</v>
      </c>
      <c r="N615" s="14">
        <v>2486000</v>
      </c>
      <c r="O615" s="14">
        <v>2486000</v>
      </c>
      <c r="P615" s="15">
        <f t="shared" si="127"/>
        <v>2586000</v>
      </c>
    </row>
    <row r="616" spans="1:16" hidden="1">
      <c r="A616" s="12"/>
      <c r="B616" s="12"/>
      <c r="C616" s="13"/>
      <c r="D616" s="45" t="s">
        <v>109</v>
      </c>
      <c r="E616" s="15">
        <v>100000</v>
      </c>
      <c r="F616" s="14">
        <v>100000</v>
      </c>
      <c r="G616" s="14">
        <v>0</v>
      </c>
      <c r="H616" s="14">
        <v>0</v>
      </c>
      <c r="I616" s="14">
        <v>0</v>
      </c>
      <c r="J616" s="15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5">
        <f t="shared" si="127"/>
        <v>100000</v>
      </c>
    </row>
    <row r="617" spans="1:16" ht="51" hidden="1">
      <c r="A617" s="6" t="s">
        <v>147</v>
      </c>
      <c r="B617" s="6" t="s">
        <v>227</v>
      </c>
      <c r="C617" s="64" t="s">
        <v>54</v>
      </c>
      <c r="D617" s="9" t="s">
        <v>148</v>
      </c>
      <c r="E617" s="10">
        <v>1496000</v>
      </c>
      <c r="F617" s="11">
        <v>1496000</v>
      </c>
      <c r="G617" s="11">
        <v>0</v>
      </c>
      <c r="H617" s="11">
        <v>0</v>
      </c>
      <c r="I617" s="11">
        <v>0</v>
      </c>
      <c r="J617" s="10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0">
        <f t="shared" si="127"/>
        <v>1496000</v>
      </c>
    </row>
    <row r="618" spans="1:16" hidden="1">
      <c r="A618" s="6"/>
      <c r="B618" s="6"/>
      <c r="C618" s="64"/>
      <c r="D618" s="45" t="s">
        <v>109</v>
      </c>
      <c r="E618" s="22">
        <v>1496000</v>
      </c>
      <c r="F618" s="21">
        <v>1496000</v>
      </c>
      <c r="G618" s="21">
        <v>0</v>
      </c>
      <c r="H618" s="21">
        <v>0</v>
      </c>
      <c r="I618" s="21">
        <v>0</v>
      </c>
      <c r="J618" s="22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2">
        <f t="shared" si="127"/>
        <v>1496000</v>
      </c>
    </row>
    <row r="619" spans="1:16" hidden="1">
      <c r="A619" s="6" t="s">
        <v>151</v>
      </c>
      <c r="B619" s="6" t="s">
        <v>228</v>
      </c>
      <c r="C619" s="64" t="s">
        <v>54</v>
      </c>
      <c r="D619" s="9" t="s">
        <v>152</v>
      </c>
      <c r="E619" s="10">
        <v>7233530</v>
      </c>
      <c r="F619" s="11">
        <v>7233530</v>
      </c>
      <c r="G619" s="11">
        <v>0</v>
      </c>
      <c r="H619" s="11">
        <v>1283530</v>
      </c>
      <c r="I619" s="11">
        <v>0</v>
      </c>
      <c r="J619" s="10">
        <v>6001447</v>
      </c>
      <c r="K619" s="11">
        <v>0</v>
      </c>
      <c r="L619" s="11">
        <v>0</v>
      </c>
      <c r="M619" s="11">
        <v>0</v>
      </c>
      <c r="N619" s="11">
        <v>6001447</v>
      </c>
      <c r="O619" s="11">
        <v>6001447</v>
      </c>
      <c r="P619" s="10">
        <f t="shared" si="127"/>
        <v>13234977</v>
      </c>
    </row>
    <row r="620" spans="1:16" hidden="1">
      <c r="A620" s="6" t="s">
        <v>163</v>
      </c>
      <c r="B620" s="6" t="s">
        <v>229</v>
      </c>
      <c r="C620" s="64" t="s">
        <v>74</v>
      </c>
      <c r="D620" s="9" t="s">
        <v>230</v>
      </c>
      <c r="E620" s="10">
        <v>300000</v>
      </c>
      <c r="F620" s="11">
        <v>200000</v>
      </c>
      <c r="G620" s="11">
        <v>0</v>
      </c>
      <c r="H620" s="11">
        <v>0</v>
      </c>
      <c r="I620" s="11">
        <v>100000</v>
      </c>
      <c r="J620" s="10">
        <v>150000</v>
      </c>
      <c r="K620" s="11">
        <v>0</v>
      </c>
      <c r="L620" s="11">
        <v>0</v>
      </c>
      <c r="M620" s="11">
        <v>0</v>
      </c>
      <c r="N620" s="11">
        <v>150000</v>
      </c>
      <c r="O620" s="11">
        <v>150000</v>
      </c>
      <c r="P620" s="10">
        <f t="shared" si="127"/>
        <v>450000</v>
      </c>
    </row>
    <row r="621" spans="1:16" hidden="1">
      <c r="A621" s="6" t="s">
        <v>154</v>
      </c>
      <c r="B621" s="6" t="s">
        <v>231</v>
      </c>
      <c r="C621" s="8"/>
      <c r="D621" s="9" t="s">
        <v>232</v>
      </c>
      <c r="E621" s="10">
        <v>0</v>
      </c>
      <c r="F621" s="11">
        <v>0</v>
      </c>
      <c r="G621" s="11">
        <v>0</v>
      </c>
      <c r="H621" s="11">
        <v>0</v>
      </c>
      <c r="I621" s="11">
        <v>0</v>
      </c>
      <c r="J621" s="10">
        <v>5300000</v>
      </c>
      <c r="K621" s="11">
        <v>0</v>
      </c>
      <c r="L621" s="11">
        <v>0</v>
      </c>
      <c r="M621" s="11">
        <v>0</v>
      </c>
      <c r="N621" s="11">
        <v>5300000</v>
      </c>
      <c r="O621" s="11">
        <v>5300000</v>
      </c>
      <c r="P621" s="10">
        <f t="shared" si="127"/>
        <v>5300000</v>
      </c>
    </row>
    <row r="622" spans="1:16" ht="38.25" hidden="1">
      <c r="A622" s="12" t="s">
        <v>187</v>
      </c>
      <c r="B622" s="12" t="s">
        <v>233</v>
      </c>
      <c r="C622" s="13" t="s">
        <v>59</v>
      </c>
      <c r="D622" s="65" t="s">
        <v>234</v>
      </c>
      <c r="E622" s="15">
        <v>0</v>
      </c>
      <c r="F622" s="14">
        <v>0</v>
      </c>
      <c r="G622" s="14">
        <v>0</v>
      </c>
      <c r="H622" s="14">
        <v>0</v>
      </c>
      <c r="I622" s="14">
        <v>0</v>
      </c>
      <c r="J622" s="15">
        <v>5300000</v>
      </c>
      <c r="K622" s="14">
        <v>0</v>
      </c>
      <c r="L622" s="14">
        <v>0</v>
      </c>
      <c r="M622" s="14">
        <v>0</v>
      </c>
      <c r="N622" s="14">
        <v>5300000</v>
      </c>
      <c r="O622" s="14">
        <v>5300000</v>
      </c>
      <c r="P622" s="15">
        <f t="shared" si="127"/>
        <v>5300000</v>
      </c>
    </row>
    <row r="623" spans="1:16" ht="25.5" hidden="1">
      <c r="A623" s="6" t="s">
        <v>158</v>
      </c>
      <c r="B623" s="6" t="s">
        <v>235</v>
      </c>
      <c r="C623" s="8"/>
      <c r="D623" s="9" t="s">
        <v>159</v>
      </c>
      <c r="E623" s="10">
        <v>1365000</v>
      </c>
      <c r="F623" s="11">
        <v>1365000</v>
      </c>
      <c r="G623" s="11">
        <v>0</v>
      </c>
      <c r="H623" s="11">
        <v>0</v>
      </c>
      <c r="I623" s="11">
        <v>0</v>
      </c>
      <c r="J623" s="10">
        <v>2525000</v>
      </c>
      <c r="K623" s="11">
        <v>0</v>
      </c>
      <c r="L623" s="11">
        <v>0</v>
      </c>
      <c r="M623" s="11">
        <v>0</v>
      </c>
      <c r="N623" s="11">
        <v>2525000</v>
      </c>
      <c r="O623" s="11">
        <v>2525000</v>
      </c>
      <c r="P623" s="10">
        <f t="shared" si="127"/>
        <v>3890000</v>
      </c>
    </row>
    <row r="624" spans="1:16" ht="25.5" hidden="1">
      <c r="A624" s="12" t="s">
        <v>186</v>
      </c>
      <c r="B624" s="12" t="s">
        <v>236</v>
      </c>
      <c r="C624" s="13" t="s">
        <v>64</v>
      </c>
      <c r="D624" s="65" t="s">
        <v>237</v>
      </c>
      <c r="E624" s="15">
        <v>1365000</v>
      </c>
      <c r="F624" s="14">
        <v>1365000</v>
      </c>
      <c r="G624" s="14">
        <v>0</v>
      </c>
      <c r="H624" s="14">
        <v>0</v>
      </c>
      <c r="I624" s="14">
        <v>0</v>
      </c>
      <c r="J624" s="15">
        <v>2525000</v>
      </c>
      <c r="K624" s="14">
        <v>0</v>
      </c>
      <c r="L624" s="14">
        <v>0</v>
      </c>
      <c r="M624" s="14">
        <v>0</v>
      </c>
      <c r="N624" s="14">
        <v>2525000</v>
      </c>
      <c r="O624" s="14">
        <v>2525000</v>
      </c>
      <c r="P624" s="15">
        <f t="shared" si="127"/>
        <v>3890000</v>
      </c>
    </row>
    <row r="625" spans="1:16" ht="25.5" hidden="1">
      <c r="A625" s="6" t="s">
        <v>166</v>
      </c>
      <c r="B625" s="6" t="s">
        <v>238</v>
      </c>
      <c r="C625" s="64" t="s">
        <v>59</v>
      </c>
      <c r="D625" s="9" t="s">
        <v>239</v>
      </c>
      <c r="E625" s="10">
        <v>0</v>
      </c>
      <c r="F625" s="11">
        <v>0</v>
      </c>
      <c r="G625" s="11">
        <v>0</v>
      </c>
      <c r="H625" s="11">
        <v>0</v>
      </c>
      <c r="I625" s="11">
        <v>0</v>
      </c>
      <c r="J625" s="10">
        <v>1600000</v>
      </c>
      <c r="K625" s="11">
        <v>0</v>
      </c>
      <c r="L625" s="11">
        <v>0</v>
      </c>
      <c r="M625" s="11">
        <v>0</v>
      </c>
      <c r="N625" s="11">
        <v>1600000</v>
      </c>
      <c r="O625" s="11">
        <v>1600000</v>
      </c>
      <c r="P625" s="10">
        <f t="shared" si="127"/>
        <v>1600000</v>
      </c>
    </row>
    <row r="626" spans="1:16" hidden="1">
      <c r="A626" s="6"/>
      <c r="B626" s="6"/>
      <c r="C626" s="64"/>
      <c r="D626" s="45" t="s">
        <v>109</v>
      </c>
      <c r="E626" s="22">
        <v>0</v>
      </c>
      <c r="F626" s="21">
        <v>0</v>
      </c>
      <c r="G626" s="21">
        <v>0</v>
      </c>
      <c r="H626" s="21">
        <v>0</v>
      </c>
      <c r="I626" s="21">
        <v>0</v>
      </c>
      <c r="J626" s="22">
        <v>1000000</v>
      </c>
      <c r="K626" s="21">
        <v>0</v>
      </c>
      <c r="L626" s="21">
        <v>0</v>
      </c>
      <c r="M626" s="21">
        <v>0</v>
      </c>
      <c r="N626" s="21">
        <v>1000000</v>
      </c>
      <c r="O626" s="21">
        <v>1000000</v>
      </c>
      <c r="P626" s="22">
        <f t="shared" si="127"/>
        <v>1000000</v>
      </c>
    </row>
    <row r="627" spans="1:16" hidden="1">
      <c r="A627" s="6"/>
      <c r="B627" s="6"/>
      <c r="C627" s="64"/>
      <c r="D627" s="45" t="s">
        <v>111</v>
      </c>
      <c r="E627" s="22">
        <v>0</v>
      </c>
      <c r="F627" s="21">
        <v>0</v>
      </c>
      <c r="G627" s="21">
        <v>0</v>
      </c>
      <c r="H627" s="21">
        <v>0</v>
      </c>
      <c r="I627" s="21">
        <v>0</v>
      </c>
      <c r="J627" s="22">
        <v>600000</v>
      </c>
      <c r="K627" s="21">
        <v>0</v>
      </c>
      <c r="L627" s="21">
        <v>0</v>
      </c>
      <c r="M627" s="21">
        <v>0</v>
      </c>
      <c r="N627" s="21">
        <v>600000</v>
      </c>
      <c r="O627" s="21">
        <v>600000</v>
      </c>
      <c r="P627" s="22">
        <f t="shared" si="127"/>
        <v>600000</v>
      </c>
    </row>
    <row r="628" spans="1:16" hidden="1">
      <c r="A628" s="6" t="s">
        <v>240</v>
      </c>
      <c r="B628" s="6" t="s">
        <v>241</v>
      </c>
      <c r="C628" s="8"/>
      <c r="D628" s="9" t="s">
        <v>242</v>
      </c>
      <c r="E628" s="10">
        <v>0</v>
      </c>
      <c r="F628" s="11">
        <v>0</v>
      </c>
      <c r="G628" s="11">
        <v>0</v>
      </c>
      <c r="H628" s="11">
        <v>0</v>
      </c>
      <c r="I628" s="11">
        <v>0</v>
      </c>
      <c r="J628" s="10">
        <v>1400000</v>
      </c>
      <c r="K628" s="11">
        <v>0</v>
      </c>
      <c r="L628" s="11">
        <v>0</v>
      </c>
      <c r="M628" s="11">
        <v>0</v>
      </c>
      <c r="N628" s="11">
        <v>1400000</v>
      </c>
      <c r="O628" s="11">
        <v>0</v>
      </c>
      <c r="P628" s="10">
        <f t="shared" si="127"/>
        <v>1400000</v>
      </c>
    </row>
    <row r="629" spans="1:16" ht="89.25" hidden="1">
      <c r="A629" s="12" t="s">
        <v>191</v>
      </c>
      <c r="B629" s="12" t="s">
        <v>243</v>
      </c>
      <c r="C629" s="13" t="s">
        <v>59</v>
      </c>
      <c r="D629" s="65" t="s">
        <v>244</v>
      </c>
      <c r="E629" s="15">
        <v>0</v>
      </c>
      <c r="F629" s="14">
        <v>0</v>
      </c>
      <c r="G629" s="14">
        <v>0</v>
      </c>
      <c r="H629" s="14">
        <v>0</v>
      </c>
      <c r="I629" s="14">
        <v>0</v>
      </c>
      <c r="J629" s="15">
        <v>1400000</v>
      </c>
      <c r="K629" s="14">
        <v>0</v>
      </c>
      <c r="L629" s="14">
        <v>0</v>
      </c>
      <c r="M629" s="14">
        <v>0</v>
      </c>
      <c r="N629" s="14">
        <v>1400000</v>
      </c>
      <c r="O629" s="14">
        <v>0</v>
      </c>
      <c r="P629" s="15">
        <f t="shared" si="127"/>
        <v>1400000</v>
      </c>
    </row>
    <row r="630" spans="1:16" ht="25.5" hidden="1">
      <c r="A630" s="6" t="s">
        <v>245</v>
      </c>
      <c r="B630" s="6" t="s">
        <v>246</v>
      </c>
      <c r="C630" s="8"/>
      <c r="D630" s="9" t="s">
        <v>247</v>
      </c>
      <c r="E630" s="10">
        <v>0</v>
      </c>
      <c r="F630" s="11">
        <v>0</v>
      </c>
      <c r="G630" s="11">
        <v>0</v>
      </c>
      <c r="H630" s="11">
        <v>0</v>
      </c>
      <c r="I630" s="11">
        <v>0</v>
      </c>
      <c r="J630" s="10">
        <v>202000</v>
      </c>
      <c r="K630" s="11">
        <v>202000</v>
      </c>
      <c r="L630" s="11">
        <v>0</v>
      </c>
      <c r="M630" s="11">
        <v>0</v>
      </c>
      <c r="N630" s="11">
        <v>0</v>
      </c>
      <c r="O630" s="11">
        <v>0</v>
      </c>
      <c r="P630" s="10">
        <f t="shared" si="127"/>
        <v>202000</v>
      </c>
    </row>
    <row r="631" spans="1:16" ht="25.5" hidden="1">
      <c r="A631" s="12" t="s">
        <v>169</v>
      </c>
      <c r="B631" s="12" t="s">
        <v>248</v>
      </c>
      <c r="C631" s="13" t="s">
        <v>79</v>
      </c>
      <c r="D631" s="65" t="s">
        <v>90</v>
      </c>
      <c r="E631" s="15">
        <v>0</v>
      </c>
      <c r="F631" s="14">
        <v>0</v>
      </c>
      <c r="G631" s="14">
        <v>0</v>
      </c>
      <c r="H631" s="14">
        <v>0</v>
      </c>
      <c r="I631" s="14">
        <v>0</v>
      </c>
      <c r="J631" s="15">
        <v>202000</v>
      </c>
      <c r="K631" s="14">
        <f>2000+200000</f>
        <v>202000</v>
      </c>
      <c r="L631" s="14">
        <v>0</v>
      </c>
      <c r="M631" s="14">
        <v>0</v>
      </c>
      <c r="N631" s="14">
        <v>0</v>
      </c>
      <c r="O631" s="14">
        <v>0</v>
      </c>
      <c r="P631" s="15">
        <f t="shared" si="127"/>
        <v>202000</v>
      </c>
    </row>
    <row r="632" spans="1:16" ht="25.5" hidden="1">
      <c r="A632" s="6" t="s">
        <v>170</v>
      </c>
      <c r="B632" s="6" t="s">
        <v>249</v>
      </c>
      <c r="C632" s="64" t="s">
        <v>171</v>
      </c>
      <c r="D632" s="9" t="s">
        <v>172</v>
      </c>
      <c r="E632" s="10">
        <v>0</v>
      </c>
      <c r="F632" s="11">
        <v>0</v>
      </c>
      <c r="G632" s="11">
        <v>0</v>
      </c>
      <c r="H632" s="11">
        <v>0</v>
      </c>
      <c r="I632" s="11">
        <v>0</v>
      </c>
      <c r="J632" s="10">
        <v>916000</v>
      </c>
      <c r="K632" s="11">
        <v>916000</v>
      </c>
      <c r="L632" s="11">
        <v>0</v>
      </c>
      <c r="M632" s="11">
        <v>0</v>
      </c>
      <c r="N632" s="11">
        <v>0</v>
      </c>
      <c r="O632" s="11">
        <v>0</v>
      </c>
      <c r="P632" s="10">
        <f t="shared" si="127"/>
        <v>916000</v>
      </c>
    </row>
    <row r="633" spans="1:16" hidden="1">
      <c r="A633" s="6" t="s">
        <v>160</v>
      </c>
      <c r="B633" s="6" t="s">
        <v>250</v>
      </c>
      <c r="C633" s="64" t="s">
        <v>69</v>
      </c>
      <c r="D633" s="9" t="s">
        <v>161</v>
      </c>
      <c r="E633" s="10">
        <v>156552</v>
      </c>
      <c r="F633" s="11">
        <v>156552</v>
      </c>
      <c r="G633" s="11">
        <v>0</v>
      </c>
      <c r="H633" s="11">
        <v>0</v>
      </c>
      <c r="I633" s="11">
        <v>0</v>
      </c>
      <c r="J633" s="10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0">
        <f t="shared" si="127"/>
        <v>156552</v>
      </c>
    </row>
    <row r="634" spans="1:16" hidden="1">
      <c r="A634" s="6"/>
      <c r="B634" s="6"/>
      <c r="C634" s="64"/>
      <c r="D634" s="45" t="s">
        <v>111</v>
      </c>
      <c r="E634" s="22">
        <v>156552</v>
      </c>
      <c r="F634" s="21">
        <v>156552</v>
      </c>
      <c r="G634" s="21">
        <v>0</v>
      </c>
      <c r="H634" s="21">
        <v>0</v>
      </c>
      <c r="I634" s="21">
        <v>0</v>
      </c>
      <c r="J634" s="22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10">
        <f t="shared" si="127"/>
        <v>156552</v>
      </c>
    </row>
    <row r="635" spans="1:16" ht="38.25" hidden="1">
      <c r="A635" s="6" t="s">
        <v>173</v>
      </c>
      <c r="B635" s="6" t="s">
        <v>251</v>
      </c>
      <c r="C635" s="64" t="s">
        <v>114</v>
      </c>
      <c r="D635" s="9" t="s">
        <v>252</v>
      </c>
      <c r="E635" s="10">
        <v>5050000</v>
      </c>
      <c r="F635" s="11">
        <v>5050000</v>
      </c>
      <c r="G635" s="11">
        <v>0</v>
      </c>
      <c r="H635" s="11">
        <v>0</v>
      </c>
      <c r="I635" s="11">
        <v>0</v>
      </c>
      <c r="J635" s="10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0">
        <f t="shared" si="127"/>
        <v>5050000</v>
      </c>
    </row>
    <row r="636" spans="1:16" hidden="1">
      <c r="A636" s="6" t="s">
        <v>253</v>
      </c>
      <c r="B636" s="6" t="s">
        <v>254</v>
      </c>
      <c r="C636" s="64" t="s">
        <v>114</v>
      </c>
      <c r="D636" s="9" t="s">
        <v>255</v>
      </c>
      <c r="E636" s="10">
        <v>447200</v>
      </c>
      <c r="F636" s="11">
        <v>447200</v>
      </c>
      <c r="G636" s="11">
        <v>0</v>
      </c>
      <c r="H636" s="11">
        <v>0</v>
      </c>
      <c r="I636" s="11">
        <v>0</v>
      </c>
      <c r="J636" s="10">
        <v>70000</v>
      </c>
      <c r="K636" s="11">
        <v>0</v>
      </c>
      <c r="L636" s="11">
        <v>0</v>
      </c>
      <c r="M636" s="11">
        <v>0</v>
      </c>
      <c r="N636" s="11">
        <v>70000</v>
      </c>
      <c r="O636" s="11">
        <v>70000</v>
      </c>
      <c r="P636" s="10">
        <f t="shared" si="127"/>
        <v>517200</v>
      </c>
    </row>
    <row r="637" spans="1:16" ht="38.25" hidden="1">
      <c r="A637" s="6" t="s">
        <v>256</v>
      </c>
      <c r="B637" s="6" t="s">
        <v>257</v>
      </c>
      <c r="C637" s="64" t="s">
        <v>114</v>
      </c>
      <c r="D637" s="9" t="s">
        <v>258</v>
      </c>
      <c r="E637" s="10">
        <v>390000</v>
      </c>
      <c r="F637" s="11">
        <v>390000</v>
      </c>
      <c r="G637" s="11">
        <v>0</v>
      </c>
      <c r="H637" s="11">
        <v>0</v>
      </c>
      <c r="I637" s="11">
        <v>0</v>
      </c>
      <c r="J637" s="10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0">
        <f t="shared" si="127"/>
        <v>390000</v>
      </c>
    </row>
    <row r="638" spans="1:16" hidden="1">
      <c r="A638" s="6" t="s">
        <v>264</v>
      </c>
      <c r="B638" s="6"/>
      <c r="C638" s="64"/>
      <c r="D638" s="11" t="s">
        <v>266</v>
      </c>
      <c r="E638" s="10">
        <f t="shared" ref="E638:O638" si="128">E639</f>
        <v>21083060</v>
      </c>
      <c r="F638" s="11">
        <f t="shared" si="128"/>
        <v>21083060</v>
      </c>
      <c r="G638" s="11">
        <f t="shared" si="128"/>
        <v>11802983</v>
      </c>
      <c r="H638" s="11">
        <f t="shared" si="128"/>
        <v>3285589</v>
      </c>
      <c r="I638" s="11">
        <f t="shared" si="128"/>
        <v>0</v>
      </c>
      <c r="J638" s="10">
        <f t="shared" si="128"/>
        <v>1224439</v>
      </c>
      <c r="K638" s="11">
        <f t="shared" si="128"/>
        <v>130000</v>
      </c>
      <c r="L638" s="11">
        <f t="shared" si="128"/>
        <v>0</v>
      </c>
      <c r="M638" s="11">
        <f t="shared" si="128"/>
        <v>0</v>
      </c>
      <c r="N638" s="11">
        <f t="shared" si="128"/>
        <v>1094439</v>
      </c>
      <c r="O638" s="11">
        <f t="shared" si="128"/>
        <v>1094439</v>
      </c>
      <c r="P638" s="10">
        <f t="shared" si="127"/>
        <v>22307499</v>
      </c>
    </row>
    <row r="639" spans="1:16" ht="25.5" hidden="1">
      <c r="A639" s="6" t="s">
        <v>265</v>
      </c>
      <c r="B639" s="6"/>
      <c r="C639" s="64"/>
      <c r="D639" s="11" t="s">
        <v>267</v>
      </c>
      <c r="E639" s="10">
        <f>F639+I639</f>
        <v>21083060</v>
      </c>
      <c r="F639" s="11">
        <f>F640+F641+F643</f>
        <v>21083060</v>
      </c>
      <c r="G639" s="11">
        <f>G640+G641+G643</f>
        <v>11802983</v>
      </c>
      <c r="H639" s="11">
        <f>H640+H641+H643</f>
        <v>3285589</v>
      </c>
      <c r="I639" s="11">
        <f>I640+I641+I643</f>
        <v>0</v>
      </c>
      <c r="J639" s="10">
        <f>K639+N639</f>
        <v>1224439</v>
      </c>
      <c r="K639" s="11">
        <f>K640+K641+K643</f>
        <v>130000</v>
      </c>
      <c r="L639" s="11">
        <f>L640+L641+L643</f>
        <v>0</v>
      </c>
      <c r="M639" s="11">
        <f>M640+M641+M643</f>
        <v>0</v>
      </c>
      <c r="N639" s="11">
        <f>N640+N641+N643</f>
        <v>1094439</v>
      </c>
      <c r="O639" s="11">
        <f>O640+O641+O643</f>
        <v>1094439</v>
      </c>
      <c r="P639" s="10">
        <f t="shared" si="127"/>
        <v>22307499</v>
      </c>
    </row>
    <row r="640" spans="1:16" hidden="1">
      <c r="A640" s="6" t="s">
        <v>268</v>
      </c>
      <c r="B640" s="6">
        <v>1010</v>
      </c>
      <c r="C640" s="64" t="s">
        <v>129</v>
      </c>
      <c r="D640" s="9" t="s">
        <v>132</v>
      </c>
      <c r="E640" s="10">
        <v>1941782</v>
      </c>
      <c r="F640" s="11">
        <v>1941782</v>
      </c>
      <c r="G640" s="11">
        <v>1255491</v>
      </c>
      <c r="H640" s="11">
        <v>201977</v>
      </c>
      <c r="I640" s="11">
        <v>0</v>
      </c>
      <c r="J640" s="10">
        <v>736510</v>
      </c>
      <c r="K640" s="11">
        <v>50000</v>
      </c>
      <c r="L640" s="11">
        <v>0</v>
      </c>
      <c r="M640" s="11">
        <v>0</v>
      </c>
      <c r="N640" s="11">
        <v>686510</v>
      </c>
      <c r="O640" s="11">
        <v>686510</v>
      </c>
      <c r="P640" s="10">
        <f t="shared" ref="P640:P646" si="129">E640+J640</f>
        <v>2678292</v>
      </c>
    </row>
    <row r="641" spans="1:16" ht="63.75" hidden="1">
      <c r="A641" s="6" t="s">
        <v>269</v>
      </c>
      <c r="B641" s="6" t="s">
        <v>29</v>
      </c>
      <c r="C641" s="64" t="s">
        <v>28</v>
      </c>
      <c r="D641" s="9" t="s">
        <v>203</v>
      </c>
      <c r="E641" s="10">
        <v>18167070</v>
      </c>
      <c r="F641" s="11">
        <v>18167070</v>
      </c>
      <c r="G641" s="11">
        <v>10110650</v>
      </c>
      <c r="H641" s="11">
        <v>3083612</v>
      </c>
      <c r="I641" s="11">
        <v>0</v>
      </c>
      <c r="J641" s="10">
        <v>487929</v>
      </c>
      <c r="K641" s="11">
        <v>80000</v>
      </c>
      <c r="L641" s="11">
        <v>0</v>
      </c>
      <c r="M641" s="11">
        <v>0</v>
      </c>
      <c r="N641" s="11">
        <v>407929</v>
      </c>
      <c r="O641" s="11">
        <v>407929</v>
      </c>
      <c r="P641" s="10">
        <f t="shared" si="129"/>
        <v>18654999</v>
      </c>
    </row>
    <row r="642" spans="1:16" ht="25.5" hidden="1">
      <c r="A642" s="6"/>
      <c r="B642" s="6"/>
      <c r="C642" s="64"/>
      <c r="D642" s="46" t="s">
        <v>133</v>
      </c>
      <c r="E642" s="42">
        <f>F642+I642</f>
        <v>13801200</v>
      </c>
      <c r="F642" s="14">
        <v>13801200</v>
      </c>
      <c r="G642" s="14">
        <v>11312500</v>
      </c>
      <c r="H642" s="11"/>
      <c r="I642" s="11"/>
      <c r="J642" s="10"/>
      <c r="K642" s="11"/>
      <c r="L642" s="11"/>
      <c r="M642" s="11"/>
      <c r="N642" s="11"/>
      <c r="O642" s="11"/>
      <c r="P642" s="10">
        <f t="shared" si="129"/>
        <v>13801200</v>
      </c>
    </row>
    <row r="643" spans="1:16" hidden="1">
      <c r="A643" s="6" t="s">
        <v>270</v>
      </c>
      <c r="B643" s="6">
        <v>1160</v>
      </c>
      <c r="C643" s="64"/>
      <c r="D643" s="11" t="s">
        <v>136</v>
      </c>
      <c r="E643" s="10">
        <f t="shared" ref="E643:O643" si="130">E644+E645</f>
        <v>974208</v>
      </c>
      <c r="F643" s="32">
        <f t="shared" si="130"/>
        <v>974208</v>
      </c>
      <c r="G643" s="32">
        <f t="shared" si="130"/>
        <v>436842</v>
      </c>
      <c r="H643" s="32">
        <f t="shared" si="130"/>
        <v>0</v>
      </c>
      <c r="I643" s="32">
        <f t="shared" si="130"/>
        <v>0</v>
      </c>
      <c r="J643" s="10">
        <f t="shared" si="130"/>
        <v>0</v>
      </c>
      <c r="K643" s="32">
        <f t="shared" si="130"/>
        <v>0</v>
      </c>
      <c r="L643" s="32">
        <f t="shared" si="130"/>
        <v>0</v>
      </c>
      <c r="M643" s="32">
        <f t="shared" si="130"/>
        <v>0</v>
      </c>
      <c r="N643" s="32">
        <f t="shared" si="130"/>
        <v>0</v>
      </c>
      <c r="O643" s="32">
        <f t="shared" si="130"/>
        <v>0</v>
      </c>
      <c r="P643" s="10">
        <f t="shared" si="129"/>
        <v>974208</v>
      </c>
    </row>
    <row r="644" spans="1:16" ht="25.5" hidden="1">
      <c r="A644" s="12" t="s">
        <v>271</v>
      </c>
      <c r="B644" s="20">
        <v>1161</v>
      </c>
      <c r="C644" s="68" t="s">
        <v>31</v>
      </c>
      <c r="D644" s="21" t="s">
        <v>273</v>
      </c>
      <c r="E644" s="22">
        <v>603950</v>
      </c>
      <c r="F644" s="21">
        <v>603950</v>
      </c>
      <c r="G644" s="21">
        <v>436842</v>
      </c>
      <c r="H644" s="11"/>
      <c r="I644" s="11"/>
      <c r="J644" s="10"/>
      <c r="K644" s="11"/>
      <c r="L644" s="11"/>
      <c r="M644" s="11"/>
      <c r="N644" s="11"/>
      <c r="O644" s="11"/>
      <c r="P644" s="10">
        <f t="shared" si="129"/>
        <v>603950</v>
      </c>
    </row>
    <row r="645" spans="1:16" hidden="1">
      <c r="A645" s="12" t="s">
        <v>272</v>
      </c>
      <c r="B645" s="12" t="s">
        <v>208</v>
      </c>
      <c r="C645" s="13" t="s">
        <v>31</v>
      </c>
      <c r="D645" s="65" t="s">
        <v>136</v>
      </c>
      <c r="E645" s="22">
        <v>370258</v>
      </c>
      <c r="F645" s="21">
        <v>370258</v>
      </c>
      <c r="G645" s="11"/>
      <c r="H645" s="11"/>
      <c r="I645" s="11"/>
      <c r="J645" s="10"/>
      <c r="K645" s="11"/>
      <c r="L645" s="11"/>
      <c r="M645" s="11"/>
      <c r="N645" s="11"/>
      <c r="O645" s="11"/>
      <c r="P645" s="10">
        <f t="shared" si="129"/>
        <v>370258</v>
      </c>
    </row>
    <row r="646" spans="1:16" hidden="1">
      <c r="A646" s="16"/>
      <c r="B646" s="17" t="s">
        <v>93</v>
      </c>
      <c r="C646" s="18"/>
      <c r="D646" s="10" t="s">
        <v>10</v>
      </c>
      <c r="E646" s="10">
        <f t="shared" ref="E646:O646" si="131">E591+E638</f>
        <v>68279578</v>
      </c>
      <c r="F646" s="10">
        <f t="shared" si="131"/>
        <v>68179578</v>
      </c>
      <c r="G646" s="10">
        <f t="shared" si="131"/>
        <v>28476006</v>
      </c>
      <c r="H646" s="10">
        <f t="shared" si="131"/>
        <v>6942590</v>
      </c>
      <c r="I646" s="10">
        <f t="shared" si="131"/>
        <v>100000</v>
      </c>
      <c r="J646" s="10">
        <f t="shared" si="131"/>
        <v>23480626</v>
      </c>
      <c r="K646" s="10">
        <f t="shared" si="131"/>
        <v>1288000</v>
      </c>
      <c r="L646" s="10">
        <f t="shared" si="131"/>
        <v>0</v>
      </c>
      <c r="M646" s="10">
        <f t="shared" si="131"/>
        <v>0</v>
      </c>
      <c r="N646" s="10">
        <f t="shared" si="131"/>
        <v>22192626</v>
      </c>
      <c r="O646" s="10">
        <f t="shared" si="131"/>
        <v>20792626</v>
      </c>
      <c r="P646" s="10">
        <f t="shared" si="129"/>
        <v>91760204</v>
      </c>
    </row>
    <row r="647" spans="1:16" hidden="1"/>
    <row r="648" spans="1:16" hidden="1"/>
    <row r="649" spans="1:16" hidden="1">
      <c r="B649" s="2" t="s">
        <v>259</v>
      </c>
      <c r="I649" s="2" t="s">
        <v>178</v>
      </c>
    </row>
    <row r="650" spans="1:16" hidden="1"/>
    <row r="651" spans="1:16" hidden="1">
      <c r="A651" t="s">
        <v>193</v>
      </c>
      <c r="M651" s="91" t="s">
        <v>274</v>
      </c>
      <c r="N651" s="91"/>
      <c r="O651" s="91"/>
      <c r="P651" s="91"/>
    </row>
    <row r="652" spans="1:16" hidden="1">
      <c r="M652" s="91"/>
      <c r="N652" s="91"/>
      <c r="O652" s="91"/>
      <c r="P652" s="91"/>
    </row>
    <row r="653" spans="1:16" hidden="1">
      <c r="M653" s="91"/>
      <c r="N653" s="91"/>
      <c r="O653" s="91"/>
      <c r="P653" s="91"/>
    </row>
    <row r="654" spans="1:16" ht="41.25" hidden="1" customHeight="1">
      <c r="M654" s="91"/>
      <c r="N654" s="91"/>
      <c r="O654" s="91"/>
      <c r="P654" s="91"/>
    </row>
    <row r="655" spans="1:16" hidden="1">
      <c r="A655" s="92" t="s">
        <v>2</v>
      </c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</row>
    <row r="656" spans="1:16" hidden="1">
      <c r="A656" s="92" t="s">
        <v>175</v>
      </c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</row>
    <row r="657" spans="1:16" hidden="1">
      <c r="P657" s="1" t="s">
        <v>4</v>
      </c>
    </row>
    <row r="658" spans="1:16" hidden="1">
      <c r="A658" s="94" t="s">
        <v>5</v>
      </c>
      <c r="B658" s="94" t="s">
        <v>6</v>
      </c>
      <c r="C658" s="94" t="s">
        <v>7</v>
      </c>
      <c r="D658" s="95" t="s">
        <v>8</v>
      </c>
      <c r="E658" s="95" t="s">
        <v>9</v>
      </c>
      <c r="F658" s="95"/>
      <c r="G658" s="95"/>
      <c r="H658" s="95"/>
      <c r="I658" s="95"/>
      <c r="J658" s="95" t="s">
        <v>16</v>
      </c>
      <c r="K658" s="95"/>
      <c r="L658" s="95"/>
      <c r="M658" s="95"/>
      <c r="N658" s="95"/>
      <c r="O658" s="95"/>
      <c r="P658" s="96" t="s">
        <v>194</v>
      </c>
    </row>
    <row r="659" spans="1:16" hidden="1">
      <c r="A659" s="95"/>
      <c r="B659" s="95"/>
      <c r="C659" s="95"/>
      <c r="D659" s="95"/>
      <c r="E659" s="96" t="s">
        <v>10</v>
      </c>
      <c r="F659" s="95" t="s">
        <v>11</v>
      </c>
      <c r="G659" s="95" t="s">
        <v>12</v>
      </c>
      <c r="H659" s="95"/>
      <c r="I659" s="95" t="s">
        <v>15</v>
      </c>
      <c r="J659" s="96" t="s">
        <v>10</v>
      </c>
      <c r="K659" s="95" t="s">
        <v>11</v>
      </c>
      <c r="L659" s="95" t="s">
        <v>12</v>
      </c>
      <c r="M659" s="95"/>
      <c r="N659" s="95" t="s">
        <v>15</v>
      </c>
      <c r="O659" s="69" t="s">
        <v>12</v>
      </c>
      <c r="P659" s="95"/>
    </row>
    <row r="660" spans="1:16" hidden="1">
      <c r="A660" s="95"/>
      <c r="B660" s="95"/>
      <c r="C660" s="95"/>
      <c r="D660" s="95"/>
      <c r="E660" s="95"/>
      <c r="F660" s="95"/>
      <c r="G660" s="95" t="s">
        <v>13</v>
      </c>
      <c r="H660" s="95" t="s">
        <v>14</v>
      </c>
      <c r="I660" s="95"/>
      <c r="J660" s="95"/>
      <c r="K660" s="95"/>
      <c r="L660" s="95" t="s">
        <v>13</v>
      </c>
      <c r="M660" s="95" t="s">
        <v>14</v>
      </c>
      <c r="N660" s="95"/>
      <c r="O660" s="95" t="s">
        <v>17</v>
      </c>
      <c r="P660" s="95"/>
    </row>
    <row r="661" spans="1:16" hidden="1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</row>
    <row r="662" spans="1:16" hidden="1">
      <c r="A662" s="69">
        <v>1</v>
      </c>
      <c r="B662" s="69">
        <v>2</v>
      </c>
      <c r="C662" s="69">
        <v>3</v>
      </c>
      <c r="D662" s="69">
        <v>4</v>
      </c>
      <c r="E662" s="70">
        <v>5</v>
      </c>
      <c r="F662" s="69">
        <v>6</v>
      </c>
      <c r="G662" s="69">
        <v>7</v>
      </c>
      <c r="H662" s="69">
        <v>8</v>
      </c>
      <c r="I662" s="69">
        <v>9</v>
      </c>
      <c r="J662" s="70">
        <v>10</v>
      </c>
      <c r="K662" s="69">
        <v>11</v>
      </c>
      <c r="L662" s="69">
        <v>12</v>
      </c>
      <c r="M662" s="69">
        <v>13</v>
      </c>
      <c r="N662" s="69">
        <v>14</v>
      </c>
      <c r="O662" s="69">
        <v>15</v>
      </c>
      <c r="P662" s="70">
        <v>16</v>
      </c>
    </row>
    <row r="663" spans="1:16" hidden="1">
      <c r="A663" s="6" t="s">
        <v>124</v>
      </c>
      <c r="B663" s="7"/>
      <c r="C663" s="8"/>
      <c r="D663" s="45" t="s">
        <v>182</v>
      </c>
      <c r="E663" s="10">
        <f t="shared" ref="E663:P663" si="132">E665+E667+E669+E670+E673+E675+E676+E678+E679+E680+E681+E686+E689+E691+E693+E694+E696+E698+E699+E703+E705+E706+E707+E709+E710+E711+E666</f>
        <v>48144900</v>
      </c>
      <c r="F663" s="10">
        <f t="shared" si="132"/>
        <v>48044900</v>
      </c>
      <c r="G663" s="10">
        <f t="shared" si="132"/>
        <v>16958579</v>
      </c>
      <c r="H663" s="10">
        <f t="shared" si="132"/>
        <v>3657003</v>
      </c>
      <c r="I663" s="10">
        <f t="shared" si="132"/>
        <v>100000</v>
      </c>
      <c r="J663" s="10">
        <f t="shared" si="132"/>
        <v>27320506</v>
      </c>
      <c r="K663" s="10">
        <f t="shared" si="132"/>
        <v>1199919</v>
      </c>
      <c r="L663" s="10">
        <f t="shared" si="132"/>
        <v>0</v>
      </c>
      <c r="M663" s="10">
        <f t="shared" si="132"/>
        <v>0</v>
      </c>
      <c r="N663" s="10">
        <f t="shared" si="132"/>
        <v>26120587</v>
      </c>
      <c r="O663" s="10">
        <f t="shared" si="132"/>
        <v>24720587</v>
      </c>
      <c r="P663" s="10">
        <f t="shared" si="132"/>
        <v>75465406</v>
      </c>
    </row>
    <row r="664" spans="1:16" hidden="1">
      <c r="A664" s="6" t="s">
        <v>125</v>
      </c>
      <c r="B664" s="7"/>
      <c r="C664" s="8"/>
      <c r="D664" s="45" t="s">
        <v>182</v>
      </c>
      <c r="E664" s="10">
        <f t="shared" ref="E664:P664" si="133">E663</f>
        <v>48144900</v>
      </c>
      <c r="F664" s="10">
        <f t="shared" si="133"/>
        <v>48044900</v>
      </c>
      <c r="G664" s="10">
        <f t="shared" si="133"/>
        <v>16958579</v>
      </c>
      <c r="H664" s="10">
        <f t="shared" si="133"/>
        <v>3657003</v>
      </c>
      <c r="I664" s="10">
        <f t="shared" si="133"/>
        <v>100000</v>
      </c>
      <c r="J664" s="10">
        <f t="shared" si="133"/>
        <v>27320506</v>
      </c>
      <c r="K664" s="10">
        <f t="shared" si="133"/>
        <v>1199919</v>
      </c>
      <c r="L664" s="10">
        <f t="shared" si="133"/>
        <v>0</v>
      </c>
      <c r="M664" s="10">
        <f t="shared" si="133"/>
        <v>0</v>
      </c>
      <c r="N664" s="10">
        <f t="shared" si="133"/>
        <v>26120587</v>
      </c>
      <c r="O664" s="10">
        <f t="shared" si="133"/>
        <v>24720587</v>
      </c>
      <c r="P664" s="10">
        <f t="shared" si="133"/>
        <v>75465406</v>
      </c>
    </row>
    <row r="665" spans="1:16" ht="63.75" hidden="1">
      <c r="A665" s="6" t="s">
        <v>126</v>
      </c>
      <c r="B665" s="6" t="s">
        <v>127</v>
      </c>
      <c r="C665" s="64" t="s">
        <v>23</v>
      </c>
      <c r="D665" s="9" t="s">
        <v>181</v>
      </c>
      <c r="E665" s="10">
        <v>12048997</v>
      </c>
      <c r="F665" s="11">
        <v>12048997</v>
      </c>
      <c r="G665" s="11">
        <v>7543175</v>
      </c>
      <c r="H665" s="11">
        <v>856886</v>
      </c>
      <c r="I665" s="11">
        <v>0</v>
      </c>
      <c r="J665" s="10">
        <v>235000</v>
      </c>
      <c r="K665" s="11">
        <v>35000</v>
      </c>
      <c r="L665" s="11">
        <v>0</v>
      </c>
      <c r="M665" s="11">
        <v>0</v>
      </c>
      <c r="N665" s="11">
        <v>200000</v>
      </c>
      <c r="O665" s="11">
        <v>200000</v>
      </c>
      <c r="P665" s="10">
        <f t="shared" ref="P665:P720" si="134">E665+J665</f>
        <v>12283997</v>
      </c>
    </row>
    <row r="666" spans="1:16" ht="38.25" hidden="1">
      <c r="A666" s="6" t="s">
        <v>262</v>
      </c>
      <c r="B666" s="6" t="s">
        <v>200</v>
      </c>
      <c r="C666" s="64" t="s">
        <v>23</v>
      </c>
      <c r="D666" s="11" t="s">
        <v>263</v>
      </c>
      <c r="E666" s="10">
        <v>230941</v>
      </c>
      <c r="F666" s="11">
        <v>230941</v>
      </c>
      <c r="G666" s="11">
        <v>189295</v>
      </c>
      <c r="H666" s="11">
        <v>0</v>
      </c>
      <c r="I666" s="11">
        <v>0</v>
      </c>
      <c r="J666" s="10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0">
        <f t="shared" si="134"/>
        <v>230941</v>
      </c>
    </row>
    <row r="667" spans="1:16" ht="38.25" hidden="1">
      <c r="A667" s="6" t="s">
        <v>195</v>
      </c>
      <c r="B667" s="6" t="s">
        <v>196</v>
      </c>
      <c r="C667" s="8"/>
      <c r="D667" s="9" t="s">
        <v>197</v>
      </c>
      <c r="E667" s="10">
        <v>95000</v>
      </c>
      <c r="F667" s="11">
        <v>95000</v>
      </c>
      <c r="G667" s="11">
        <v>62680</v>
      </c>
      <c r="H667" s="11">
        <v>0</v>
      </c>
      <c r="I667" s="11">
        <v>0</v>
      </c>
      <c r="J667" s="10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0">
        <f t="shared" si="134"/>
        <v>95000</v>
      </c>
    </row>
    <row r="668" spans="1:16" hidden="1">
      <c r="A668" s="12" t="s">
        <v>198</v>
      </c>
      <c r="B668" s="12" t="s">
        <v>199</v>
      </c>
      <c r="C668" s="13" t="s">
        <v>200</v>
      </c>
      <c r="D668" s="65" t="s">
        <v>201</v>
      </c>
      <c r="E668" s="15">
        <v>95000</v>
      </c>
      <c r="F668" s="14">
        <v>95000</v>
      </c>
      <c r="G668" s="14">
        <v>62680</v>
      </c>
      <c r="H668" s="14">
        <v>0</v>
      </c>
      <c r="I668" s="14">
        <v>0</v>
      </c>
      <c r="J668" s="15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5">
        <f t="shared" si="134"/>
        <v>95000</v>
      </c>
    </row>
    <row r="669" spans="1:16" hidden="1">
      <c r="A669" s="6" t="s">
        <v>128</v>
      </c>
      <c r="B669" s="6" t="s">
        <v>202</v>
      </c>
      <c r="C669" s="64" t="s">
        <v>129</v>
      </c>
      <c r="D669" s="9" t="s">
        <v>132</v>
      </c>
      <c r="E669" s="10">
        <v>910870</v>
      </c>
      <c r="F669" s="11">
        <v>910870</v>
      </c>
      <c r="G669" s="11">
        <v>416434</v>
      </c>
      <c r="H669" s="11">
        <v>146169</v>
      </c>
      <c r="I669" s="11">
        <v>0</v>
      </c>
      <c r="J669" s="10">
        <v>73490</v>
      </c>
      <c r="K669" s="11">
        <v>0</v>
      </c>
      <c r="L669" s="11">
        <v>0</v>
      </c>
      <c r="M669" s="11">
        <v>0</v>
      </c>
      <c r="N669" s="11">
        <v>73490</v>
      </c>
      <c r="O669" s="11">
        <v>73490</v>
      </c>
      <c r="P669" s="10">
        <f t="shared" si="134"/>
        <v>984360</v>
      </c>
    </row>
    <row r="670" spans="1:16" ht="63.75" hidden="1">
      <c r="A670" s="6" t="s">
        <v>130</v>
      </c>
      <c r="B670" s="6" t="s">
        <v>29</v>
      </c>
      <c r="C670" s="64" t="s">
        <v>28</v>
      </c>
      <c r="D670" s="9" t="s">
        <v>203</v>
      </c>
      <c r="E670" s="10">
        <v>5285172</v>
      </c>
      <c r="F670" s="11">
        <v>5285172</v>
      </c>
      <c r="G670" s="11">
        <v>3641362</v>
      </c>
      <c r="H670" s="11">
        <v>487398</v>
      </c>
      <c r="I670" s="11">
        <v>0</v>
      </c>
      <c r="J670" s="10">
        <v>41919</v>
      </c>
      <c r="K670" s="11">
        <v>41919</v>
      </c>
      <c r="L670" s="11">
        <v>0</v>
      </c>
      <c r="M670" s="11">
        <v>0</v>
      </c>
      <c r="N670" s="11">
        <v>0</v>
      </c>
      <c r="O670" s="11">
        <v>0</v>
      </c>
      <c r="P670" s="10">
        <f t="shared" si="134"/>
        <v>5327091</v>
      </c>
    </row>
    <row r="671" spans="1:16" ht="25.5" hidden="1">
      <c r="A671" s="6"/>
      <c r="B671" s="6"/>
      <c r="C671" s="64"/>
      <c r="D671" s="46" t="s">
        <v>133</v>
      </c>
      <c r="E671" s="42">
        <f>F671+I671</f>
        <v>13801200</v>
      </c>
      <c r="F671" s="14">
        <v>13801200</v>
      </c>
      <c r="G671" s="14">
        <v>11312500</v>
      </c>
      <c r="H671" s="11"/>
      <c r="I671" s="11"/>
      <c r="J671" s="10"/>
      <c r="K671" s="11"/>
      <c r="L671" s="11"/>
      <c r="M671" s="11"/>
      <c r="N671" s="11"/>
      <c r="O671" s="11"/>
      <c r="P671" s="10">
        <f t="shared" si="134"/>
        <v>13801200</v>
      </c>
    </row>
    <row r="672" spans="1:16" hidden="1">
      <c r="A672" s="6" t="s">
        <v>130</v>
      </c>
      <c r="B672" s="6">
        <v>1020</v>
      </c>
      <c r="C672" s="39" t="s">
        <v>28</v>
      </c>
      <c r="D672" s="45" t="s">
        <v>134</v>
      </c>
      <c r="E672" s="42">
        <f>F672+I672</f>
        <v>1437832</v>
      </c>
      <c r="F672" s="14">
        <v>1437832</v>
      </c>
      <c r="G672" s="14">
        <v>838321</v>
      </c>
      <c r="H672" s="14">
        <v>250242</v>
      </c>
      <c r="I672" s="11">
        <v>0</v>
      </c>
      <c r="J672" s="10"/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0">
        <f t="shared" si="134"/>
        <v>1437832</v>
      </c>
    </row>
    <row r="673" spans="1:16" ht="51" hidden="1">
      <c r="A673" s="6" t="s">
        <v>143</v>
      </c>
      <c r="B673" s="6" t="s">
        <v>204</v>
      </c>
      <c r="C673" s="64" t="s">
        <v>184</v>
      </c>
      <c r="D673" s="9" t="s">
        <v>145</v>
      </c>
      <c r="E673" s="10">
        <v>461333</v>
      </c>
      <c r="F673" s="11">
        <v>461333</v>
      </c>
      <c r="G673" s="11">
        <v>373651</v>
      </c>
      <c r="H673" s="11">
        <v>1854</v>
      </c>
      <c r="I673" s="11">
        <v>0</v>
      </c>
      <c r="J673" s="10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0">
        <f t="shared" si="134"/>
        <v>461333</v>
      </c>
    </row>
    <row r="674" spans="1:16" hidden="1">
      <c r="A674" s="6" t="s">
        <v>205</v>
      </c>
      <c r="B674" s="6" t="s">
        <v>206</v>
      </c>
      <c r="C674" s="8"/>
      <c r="D674" s="9" t="s">
        <v>207</v>
      </c>
      <c r="E674" s="10">
        <v>179742</v>
      </c>
      <c r="F674" s="11">
        <v>179742</v>
      </c>
      <c r="G674" s="11">
        <v>0</v>
      </c>
      <c r="H674" s="11">
        <v>0</v>
      </c>
      <c r="I674" s="11">
        <v>0</v>
      </c>
      <c r="J674" s="10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0">
        <f t="shared" si="134"/>
        <v>179742</v>
      </c>
    </row>
    <row r="675" spans="1:16" hidden="1">
      <c r="A675" s="12" t="s">
        <v>135</v>
      </c>
      <c r="B675" s="12" t="s">
        <v>208</v>
      </c>
      <c r="C675" s="13" t="s">
        <v>31</v>
      </c>
      <c r="D675" s="65" t="s">
        <v>136</v>
      </c>
      <c r="E675" s="15">
        <v>179742</v>
      </c>
      <c r="F675" s="14">
        <v>179742</v>
      </c>
      <c r="G675" s="14">
        <v>0</v>
      </c>
      <c r="H675" s="14">
        <v>0</v>
      </c>
      <c r="I675" s="14">
        <v>0</v>
      </c>
      <c r="J675" s="15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5">
        <f t="shared" si="134"/>
        <v>179742</v>
      </c>
    </row>
    <row r="676" spans="1:16" hidden="1">
      <c r="A676" s="6" t="s">
        <v>185</v>
      </c>
      <c r="B676" s="6" t="s">
        <v>209</v>
      </c>
      <c r="C676" s="64" t="s">
        <v>105</v>
      </c>
      <c r="D676" s="9" t="s">
        <v>106</v>
      </c>
      <c r="E676" s="10">
        <v>50000</v>
      </c>
      <c r="F676" s="11">
        <v>50000</v>
      </c>
      <c r="G676" s="11">
        <v>40984</v>
      </c>
      <c r="H676" s="11">
        <v>0</v>
      </c>
      <c r="I676" s="11">
        <v>0</v>
      </c>
      <c r="J676" s="10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0">
        <f t="shared" si="134"/>
        <v>50000</v>
      </c>
    </row>
    <row r="677" spans="1:16" hidden="1">
      <c r="A677" s="6" t="s">
        <v>210</v>
      </c>
      <c r="B677" s="6" t="s">
        <v>211</v>
      </c>
      <c r="C677" s="8"/>
      <c r="D677" s="9" t="s">
        <v>212</v>
      </c>
      <c r="E677" s="10">
        <v>1516000</v>
      </c>
      <c r="F677" s="11">
        <v>1516000</v>
      </c>
      <c r="G677" s="11">
        <v>0</v>
      </c>
      <c r="H677" s="11">
        <v>0</v>
      </c>
      <c r="I677" s="11">
        <v>0</v>
      </c>
      <c r="J677" s="10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0">
        <f t="shared" si="134"/>
        <v>1516000</v>
      </c>
    </row>
    <row r="678" spans="1:16" ht="25.5" hidden="1">
      <c r="A678" s="12" t="s">
        <v>139</v>
      </c>
      <c r="B678" s="12" t="s">
        <v>213</v>
      </c>
      <c r="C678" s="13" t="s">
        <v>36</v>
      </c>
      <c r="D678" s="65" t="s">
        <v>137</v>
      </c>
      <c r="E678" s="15">
        <v>1516000</v>
      </c>
      <c r="F678" s="14">
        <v>1516000</v>
      </c>
      <c r="G678" s="14">
        <v>0</v>
      </c>
      <c r="H678" s="14">
        <v>0</v>
      </c>
      <c r="I678" s="14">
        <v>0</v>
      </c>
      <c r="J678" s="15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5">
        <f t="shared" si="134"/>
        <v>1516000</v>
      </c>
    </row>
    <row r="679" spans="1:16" hidden="1">
      <c r="A679" s="6" t="s">
        <v>140</v>
      </c>
      <c r="B679" s="6" t="s">
        <v>214</v>
      </c>
      <c r="C679" s="64" t="s">
        <v>41</v>
      </c>
      <c r="D679" s="9" t="s">
        <v>138</v>
      </c>
      <c r="E679" s="10">
        <v>156638</v>
      </c>
      <c r="F679" s="11">
        <v>156638</v>
      </c>
      <c r="G679" s="11">
        <v>129942</v>
      </c>
      <c r="H679" s="11">
        <v>0</v>
      </c>
      <c r="I679" s="11">
        <v>0</v>
      </c>
      <c r="J679" s="10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0">
        <f t="shared" si="134"/>
        <v>156638</v>
      </c>
    </row>
    <row r="680" spans="1:16" ht="38.25" hidden="1">
      <c r="A680" s="6" t="s">
        <v>141</v>
      </c>
      <c r="B680" s="6" t="s">
        <v>42</v>
      </c>
      <c r="C680" s="64" t="s">
        <v>44</v>
      </c>
      <c r="D680" s="9" t="s">
        <v>142</v>
      </c>
      <c r="E680" s="10">
        <v>2356464</v>
      </c>
      <c r="F680" s="11">
        <v>2356464</v>
      </c>
      <c r="G680" s="11">
        <v>1153122</v>
      </c>
      <c r="H680" s="11">
        <v>332739</v>
      </c>
      <c r="I680" s="11">
        <v>0</v>
      </c>
      <c r="J680" s="10">
        <v>21984</v>
      </c>
      <c r="K680" s="11">
        <v>5000</v>
      </c>
      <c r="L680" s="11">
        <v>0</v>
      </c>
      <c r="M680" s="11">
        <v>0</v>
      </c>
      <c r="N680" s="11">
        <v>16984</v>
      </c>
      <c r="O680" s="11">
        <v>16984</v>
      </c>
      <c r="P680" s="10">
        <f t="shared" si="134"/>
        <v>2378448</v>
      </c>
    </row>
    <row r="681" spans="1:16" ht="25.5" hidden="1">
      <c r="A681" s="6" t="s">
        <v>215</v>
      </c>
      <c r="B681" s="6" t="s">
        <v>216</v>
      </c>
      <c r="C681" s="8"/>
      <c r="D681" s="9" t="s">
        <v>217</v>
      </c>
      <c r="E681" s="10">
        <v>5450461</v>
      </c>
      <c r="F681" s="11">
        <v>5450461</v>
      </c>
      <c r="G681" s="11">
        <v>3407934</v>
      </c>
      <c r="H681" s="11">
        <v>548427</v>
      </c>
      <c r="I681" s="11">
        <v>0</v>
      </c>
      <c r="J681" s="10">
        <v>758016</v>
      </c>
      <c r="K681" s="11"/>
      <c r="L681" s="11"/>
      <c r="M681" s="11"/>
      <c r="N681" s="11">
        <v>758016</v>
      </c>
      <c r="O681" s="11">
        <v>758016</v>
      </c>
      <c r="P681" s="10">
        <f t="shared" si="134"/>
        <v>6208477</v>
      </c>
    </row>
    <row r="682" spans="1:16" ht="25.5" hidden="1">
      <c r="A682" s="6">
        <v>114081</v>
      </c>
      <c r="B682" s="6">
        <v>4081</v>
      </c>
      <c r="C682" s="13" t="s">
        <v>144</v>
      </c>
      <c r="D682" s="14" t="s">
        <v>275</v>
      </c>
      <c r="E682" s="10">
        <v>5450461</v>
      </c>
      <c r="F682" s="11">
        <v>5450461</v>
      </c>
      <c r="G682" s="11">
        <v>3407934</v>
      </c>
      <c r="H682" s="11">
        <v>548427</v>
      </c>
      <c r="I682" s="11">
        <v>0</v>
      </c>
      <c r="J682" s="10">
        <v>758016</v>
      </c>
      <c r="K682" s="11"/>
      <c r="L682" s="11"/>
      <c r="M682" s="11"/>
      <c r="N682" s="11">
        <v>758016</v>
      </c>
      <c r="O682" s="11">
        <v>758016</v>
      </c>
      <c r="P682" s="10">
        <f t="shared" si="134"/>
        <v>6208477</v>
      </c>
    </row>
    <row r="683" spans="1:16" hidden="1">
      <c r="A683" s="6"/>
      <c r="B683" s="6"/>
      <c r="C683" s="13"/>
      <c r="D683" s="45" t="s">
        <v>276</v>
      </c>
      <c r="E683" s="22">
        <v>5450461</v>
      </c>
      <c r="F683" s="21">
        <v>5450461</v>
      </c>
      <c r="G683" s="21">
        <v>3407934</v>
      </c>
      <c r="H683" s="21">
        <v>548427</v>
      </c>
      <c r="I683" s="21"/>
      <c r="J683" s="22">
        <v>758016</v>
      </c>
      <c r="K683" s="21"/>
      <c r="L683" s="21"/>
      <c r="M683" s="21"/>
      <c r="N683" s="21">
        <v>758016</v>
      </c>
      <c r="O683" s="21">
        <v>758016</v>
      </c>
      <c r="P683" s="22">
        <f t="shared" si="134"/>
        <v>6208477</v>
      </c>
    </row>
    <row r="684" spans="1:16" hidden="1">
      <c r="A684" s="12" t="s">
        <v>180</v>
      </c>
      <c r="B684" s="12" t="s">
        <v>218</v>
      </c>
      <c r="C684" s="13" t="s">
        <v>144</v>
      </c>
      <c r="D684" s="65" t="s">
        <v>179</v>
      </c>
      <c r="E684" s="15">
        <v>0</v>
      </c>
      <c r="F684" s="14">
        <v>0</v>
      </c>
      <c r="G684" s="14">
        <v>0</v>
      </c>
      <c r="H684" s="14">
        <v>0</v>
      </c>
      <c r="I684" s="14">
        <v>0</v>
      </c>
      <c r="J684" s="15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5">
        <f t="shared" si="134"/>
        <v>0</v>
      </c>
    </row>
    <row r="685" spans="1:16" ht="25.5" hidden="1">
      <c r="A685" s="6" t="s">
        <v>219</v>
      </c>
      <c r="B685" s="6" t="s">
        <v>220</v>
      </c>
      <c r="C685" s="8"/>
      <c r="D685" s="9" t="s">
        <v>221</v>
      </c>
      <c r="E685" s="10">
        <v>2700000</v>
      </c>
      <c r="F685" s="11">
        <v>2700000</v>
      </c>
      <c r="G685" s="11">
        <v>0</v>
      </c>
      <c r="H685" s="11">
        <v>0</v>
      </c>
      <c r="I685" s="11">
        <v>0</v>
      </c>
      <c r="J685" s="10">
        <v>517250</v>
      </c>
      <c r="K685" s="11">
        <v>0</v>
      </c>
      <c r="L685" s="11">
        <v>0</v>
      </c>
      <c r="M685" s="11">
        <v>0</v>
      </c>
      <c r="N685" s="11">
        <v>517250</v>
      </c>
      <c r="O685" s="11">
        <v>517250</v>
      </c>
      <c r="P685" s="10">
        <f t="shared" si="134"/>
        <v>3217250</v>
      </c>
    </row>
    <row r="686" spans="1:16" ht="38.25" hidden="1">
      <c r="A686" s="12" t="s">
        <v>146</v>
      </c>
      <c r="B686" s="12" t="s">
        <v>222</v>
      </c>
      <c r="C686" s="13" t="s">
        <v>49</v>
      </c>
      <c r="D686" s="65" t="s">
        <v>51</v>
      </c>
      <c r="E686" s="15">
        <v>2700000</v>
      </c>
      <c r="F686" s="14">
        <v>2700000</v>
      </c>
      <c r="G686" s="14">
        <v>0</v>
      </c>
      <c r="H686" s="14">
        <v>0</v>
      </c>
      <c r="I686" s="14">
        <v>0</v>
      </c>
      <c r="J686" s="15">
        <v>517250</v>
      </c>
      <c r="K686" s="14">
        <v>0</v>
      </c>
      <c r="L686" s="14">
        <v>0</v>
      </c>
      <c r="M686" s="14">
        <v>0</v>
      </c>
      <c r="N686" s="14">
        <v>517250</v>
      </c>
      <c r="O686" s="14">
        <v>517250</v>
      </c>
      <c r="P686" s="15">
        <f t="shared" si="134"/>
        <v>3217250</v>
      </c>
    </row>
    <row r="687" spans="1:16" hidden="1">
      <c r="A687" s="12"/>
      <c r="B687" s="12"/>
      <c r="C687" s="13"/>
      <c r="D687" s="45" t="s">
        <v>107</v>
      </c>
      <c r="E687" s="42">
        <f>F687+I687</f>
        <v>2700000</v>
      </c>
      <c r="F687" s="14">
        <v>2700000</v>
      </c>
      <c r="G687" s="14"/>
      <c r="H687" s="14"/>
      <c r="I687" s="14"/>
      <c r="J687" s="15">
        <v>517250</v>
      </c>
      <c r="K687" s="14"/>
      <c r="L687" s="14"/>
      <c r="M687" s="14"/>
      <c r="N687" s="14">
        <v>517250</v>
      </c>
      <c r="O687" s="14">
        <v>517250</v>
      </c>
      <c r="P687" s="15">
        <f t="shared" si="134"/>
        <v>3217250</v>
      </c>
    </row>
    <row r="688" spans="1:16" ht="25.5" hidden="1">
      <c r="A688" s="6" t="s">
        <v>223</v>
      </c>
      <c r="B688" s="6" t="s">
        <v>224</v>
      </c>
      <c r="C688" s="8"/>
      <c r="D688" s="9" t="s">
        <v>225</v>
      </c>
      <c r="E688" s="10">
        <v>100000</v>
      </c>
      <c r="F688" s="11">
        <v>100000</v>
      </c>
      <c r="G688" s="11">
        <v>0</v>
      </c>
      <c r="H688" s="11">
        <v>0</v>
      </c>
      <c r="I688" s="11">
        <v>0</v>
      </c>
      <c r="J688" s="10">
        <v>4008400</v>
      </c>
      <c r="K688" s="11">
        <v>0</v>
      </c>
      <c r="L688" s="11">
        <v>0</v>
      </c>
      <c r="M688" s="11">
        <v>0</v>
      </c>
      <c r="N688" s="11">
        <v>4008400</v>
      </c>
      <c r="O688" s="11">
        <v>4008400</v>
      </c>
      <c r="P688" s="10">
        <f t="shared" si="134"/>
        <v>4108400</v>
      </c>
    </row>
    <row r="689" spans="1:16" ht="25.5" hidden="1">
      <c r="A689" s="12" t="s">
        <v>149</v>
      </c>
      <c r="B689" s="12" t="s">
        <v>226</v>
      </c>
      <c r="C689" s="13" t="s">
        <v>54</v>
      </c>
      <c r="D689" s="65" t="s">
        <v>150</v>
      </c>
      <c r="E689" s="15">
        <v>100000</v>
      </c>
      <c r="F689" s="14">
        <v>100000</v>
      </c>
      <c r="G689" s="14">
        <v>0</v>
      </c>
      <c r="H689" s="14">
        <v>0</v>
      </c>
      <c r="I689" s="14">
        <v>0</v>
      </c>
      <c r="J689" s="15">
        <v>4008400</v>
      </c>
      <c r="K689" s="14">
        <v>0</v>
      </c>
      <c r="L689" s="14">
        <v>0</v>
      </c>
      <c r="M689" s="14">
        <v>0</v>
      </c>
      <c r="N689" s="14">
        <v>4008400</v>
      </c>
      <c r="O689" s="14">
        <v>4008400</v>
      </c>
      <c r="P689" s="15">
        <f t="shared" si="134"/>
        <v>4108400</v>
      </c>
    </row>
    <row r="690" spans="1:16" hidden="1">
      <c r="A690" s="12"/>
      <c r="B690" s="12"/>
      <c r="C690" s="13"/>
      <c r="D690" s="45" t="s">
        <v>109</v>
      </c>
      <c r="E690" s="15">
        <v>100000</v>
      </c>
      <c r="F690" s="14">
        <v>100000</v>
      </c>
      <c r="G690" s="14">
        <v>0</v>
      </c>
      <c r="H690" s="14">
        <v>0</v>
      </c>
      <c r="I690" s="14">
        <v>0</v>
      </c>
      <c r="J690" s="15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5">
        <f t="shared" si="134"/>
        <v>100000</v>
      </c>
    </row>
    <row r="691" spans="1:16" ht="51" hidden="1">
      <c r="A691" s="6" t="s">
        <v>147</v>
      </c>
      <c r="B691" s="6" t="s">
        <v>227</v>
      </c>
      <c r="C691" s="64" t="s">
        <v>54</v>
      </c>
      <c r="D691" s="9" t="s">
        <v>148</v>
      </c>
      <c r="E691" s="10">
        <v>1996000</v>
      </c>
      <c r="F691" s="11">
        <v>1996000</v>
      </c>
      <c r="G691" s="11">
        <v>0</v>
      </c>
      <c r="H691" s="11">
        <v>0</v>
      </c>
      <c r="I691" s="11">
        <v>0</v>
      </c>
      <c r="J691" s="10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0">
        <f t="shared" si="134"/>
        <v>1996000</v>
      </c>
    </row>
    <row r="692" spans="1:16" hidden="1">
      <c r="A692" s="6"/>
      <c r="B692" s="6"/>
      <c r="C692" s="64"/>
      <c r="D692" s="45" t="s">
        <v>109</v>
      </c>
      <c r="E692" s="22">
        <v>1996000</v>
      </c>
      <c r="F692" s="21">
        <v>1996000</v>
      </c>
      <c r="G692" s="21">
        <v>0</v>
      </c>
      <c r="H692" s="21">
        <v>0</v>
      </c>
      <c r="I692" s="21">
        <v>0</v>
      </c>
      <c r="J692" s="22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2">
        <f t="shared" si="134"/>
        <v>1996000</v>
      </c>
    </row>
    <row r="693" spans="1:16" hidden="1">
      <c r="A693" s="6" t="s">
        <v>151</v>
      </c>
      <c r="B693" s="6" t="s">
        <v>228</v>
      </c>
      <c r="C693" s="64" t="s">
        <v>54</v>
      </c>
      <c r="D693" s="9" t="s">
        <v>152</v>
      </c>
      <c r="E693" s="10">
        <v>7183530</v>
      </c>
      <c r="F693" s="11">
        <v>7183530</v>
      </c>
      <c r="G693" s="11">
        <v>0</v>
      </c>
      <c r="H693" s="11">
        <v>1283530</v>
      </c>
      <c r="I693" s="11">
        <v>0</v>
      </c>
      <c r="J693" s="10">
        <v>9201447</v>
      </c>
      <c r="K693" s="11">
        <v>0</v>
      </c>
      <c r="L693" s="11">
        <v>0</v>
      </c>
      <c r="M693" s="11">
        <v>0</v>
      </c>
      <c r="N693" s="11">
        <v>9201447</v>
      </c>
      <c r="O693" s="11">
        <v>9201447</v>
      </c>
      <c r="P693" s="10">
        <f t="shared" si="134"/>
        <v>16384977</v>
      </c>
    </row>
    <row r="694" spans="1:16" hidden="1">
      <c r="A694" s="6" t="s">
        <v>163</v>
      </c>
      <c r="B694" s="6" t="s">
        <v>229</v>
      </c>
      <c r="C694" s="64" t="s">
        <v>74</v>
      </c>
      <c r="D694" s="9" t="s">
        <v>230</v>
      </c>
      <c r="E694" s="10">
        <v>300000</v>
      </c>
      <c r="F694" s="11">
        <v>200000</v>
      </c>
      <c r="G694" s="11">
        <v>0</v>
      </c>
      <c r="H694" s="11">
        <v>0</v>
      </c>
      <c r="I694" s="11">
        <v>100000</v>
      </c>
      <c r="J694" s="10">
        <v>150000</v>
      </c>
      <c r="K694" s="11">
        <v>0</v>
      </c>
      <c r="L694" s="11">
        <v>0</v>
      </c>
      <c r="M694" s="11">
        <v>0</v>
      </c>
      <c r="N694" s="11">
        <v>150000</v>
      </c>
      <c r="O694" s="11">
        <v>150000</v>
      </c>
      <c r="P694" s="10">
        <f t="shared" si="134"/>
        <v>450000</v>
      </c>
    </row>
    <row r="695" spans="1:16" hidden="1">
      <c r="A695" s="6" t="s">
        <v>154</v>
      </c>
      <c r="B695" s="6" t="s">
        <v>231</v>
      </c>
      <c r="C695" s="8"/>
      <c r="D695" s="9" t="s">
        <v>232</v>
      </c>
      <c r="E695" s="10">
        <v>0</v>
      </c>
      <c r="F695" s="11">
        <v>0</v>
      </c>
      <c r="G695" s="11">
        <v>0</v>
      </c>
      <c r="H695" s="11">
        <v>0</v>
      </c>
      <c r="I695" s="11">
        <v>0</v>
      </c>
      <c r="J695" s="10">
        <v>5300000</v>
      </c>
      <c r="K695" s="11">
        <v>0</v>
      </c>
      <c r="L695" s="11">
        <v>0</v>
      </c>
      <c r="M695" s="11">
        <v>0</v>
      </c>
      <c r="N695" s="11">
        <v>5300000</v>
      </c>
      <c r="O695" s="11">
        <v>5300000</v>
      </c>
      <c r="P695" s="10">
        <f t="shared" si="134"/>
        <v>5300000</v>
      </c>
    </row>
    <row r="696" spans="1:16" ht="38.25" hidden="1">
      <c r="A696" s="12" t="s">
        <v>187</v>
      </c>
      <c r="B696" s="12" t="s">
        <v>233</v>
      </c>
      <c r="C696" s="13" t="s">
        <v>59</v>
      </c>
      <c r="D696" s="65" t="s">
        <v>234</v>
      </c>
      <c r="E696" s="15">
        <v>0</v>
      </c>
      <c r="F696" s="14">
        <v>0</v>
      </c>
      <c r="G696" s="14">
        <v>0</v>
      </c>
      <c r="H696" s="14">
        <v>0</v>
      </c>
      <c r="I696" s="14">
        <v>0</v>
      </c>
      <c r="J696" s="15">
        <v>5300000</v>
      </c>
      <c r="K696" s="14">
        <v>0</v>
      </c>
      <c r="L696" s="14">
        <v>0</v>
      </c>
      <c r="M696" s="14">
        <v>0</v>
      </c>
      <c r="N696" s="14">
        <v>5300000</v>
      </c>
      <c r="O696" s="14">
        <v>5300000</v>
      </c>
      <c r="P696" s="15">
        <f t="shared" si="134"/>
        <v>5300000</v>
      </c>
    </row>
    <row r="697" spans="1:16" ht="25.5" hidden="1">
      <c r="A697" s="6" t="s">
        <v>158</v>
      </c>
      <c r="B697" s="6" t="s">
        <v>235</v>
      </c>
      <c r="C697" s="8"/>
      <c r="D697" s="9" t="s">
        <v>159</v>
      </c>
      <c r="E697" s="10">
        <v>1080000</v>
      </c>
      <c r="F697" s="11">
        <v>1080000</v>
      </c>
      <c r="G697" s="11">
        <v>0</v>
      </c>
      <c r="H697" s="11">
        <v>0</v>
      </c>
      <c r="I697" s="11">
        <v>0</v>
      </c>
      <c r="J697" s="10">
        <v>2525000</v>
      </c>
      <c r="K697" s="11">
        <v>0</v>
      </c>
      <c r="L697" s="11">
        <v>0</v>
      </c>
      <c r="M697" s="11">
        <v>0</v>
      </c>
      <c r="N697" s="11">
        <v>2525000</v>
      </c>
      <c r="O697" s="11">
        <v>2525000</v>
      </c>
      <c r="P697" s="10">
        <f t="shared" si="134"/>
        <v>3605000</v>
      </c>
    </row>
    <row r="698" spans="1:16" ht="25.5" hidden="1">
      <c r="A698" s="12" t="s">
        <v>186</v>
      </c>
      <c r="B698" s="12" t="s">
        <v>236</v>
      </c>
      <c r="C698" s="13" t="s">
        <v>64</v>
      </c>
      <c r="D698" s="65" t="s">
        <v>237</v>
      </c>
      <c r="E698" s="15">
        <v>1080000</v>
      </c>
      <c r="F698" s="14">
        <v>1080000</v>
      </c>
      <c r="G698" s="14">
        <v>0</v>
      </c>
      <c r="H698" s="14">
        <v>0</v>
      </c>
      <c r="I698" s="14">
        <v>0</v>
      </c>
      <c r="J698" s="15">
        <v>2525000</v>
      </c>
      <c r="K698" s="14">
        <v>0</v>
      </c>
      <c r="L698" s="14">
        <v>0</v>
      </c>
      <c r="M698" s="14">
        <v>0</v>
      </c>
      <c r="N698" s="14">
        <v>2525000</v>
      </c>
      <c r="O698" s="14">
        <v>2525000</v>
      </c>
      <c r="P698" s="15">
        <f t="shared" si="134"/>
        <v>3605000</v>
      </c>
    </row>
    <row r="699" spans="1:16" ht="25.5" hidden="1">
      <c r="A699" s="6" t="s">
        <v>166</v>
      </c>
      <c r="B699" s="6" t="s">
        <v>238</v>
      </c>
      <c r="C699" s="64" t="s">
        <v>59</v>
      </c>
      <c r="D699" s="9" t="s">
        <v>239</v>
      </c>
      <c r="E699" s="10">
        <v>0</v>
      </c>
      <c r="F699" s="11">
        <v>0</v>
      </c>
      <c r="G699" s="11">
        <v>0</v>
      </c>
      <c r="H699" s="11">
        <v>0</v>
      </c>
      <c r="I699" s="11">
        <v>0</v>
      </c>
      <c r="J699" s="10">
        <v>1900000</v>
      </c>
      <c r="K699" s="11">
        <v>0</v>
      </c>
      <c r="L699" s="11">
        <v>0</v>
      </c>
      <c r="M699" s="11">
        <v>0</v>
      </c>
      <c r="N699" s="11">
        <v>1900000</v>
      </c>
      <c r="O699" s="11">
        <v>1900000</v>
      </c>
      <c r="P699" s="10">
        <f t="shared" si="134"/>
        <v>1900000</v>
      </c>
    </row>
    <row r="700" spans="1:16" hidden="1">
      <c r="A700" s="6"/>
      <c r="B700" s="6"/>
      <c r="C700" s="64"/>
      <c r="D700" s="45" t="s">
        <v>109</v>
      </c>
      <c r="E700" s="22">
        <v>0</v>
      </c>
      <c r="F700" s="21">
        <v>0</v>
      </c>
      <c r="G700" s="21">
        <v>0</v>
      </c>
      <c r="H700" s="21">
        <v>0</v>
      </c>
      <c r="I700" s="21">
        <v>0</v>
      </c>
      <c r="J700" s="22">
        <v>1300000</v>
      </c>
      <c r="K700" s="21">
        <v>0</v>
      </c>
      <c r="L700" s="21">
        <v>0</v>
      </c>
      <c r="M700" s="21">
        <v>0</v>
      </c>
      <c r="N700" s="21">
        <v>1300000</v>
      </c>
      <c r="O700" s="21">
        <v>1300000</v>
      </c>
      <c r="P700" s="22">
        <f t="shared" si="134"/>
        <v>1300000</v>
      </c>
    </row>
    <row r="701" spans="1:16" hidden="1">
      <c r="A701" s="6"/>
      <c r="B701" s="6"/>
      <c r="C701" s="64"/>
      <c r="D701" s="45" t="s">
        <v>111</v>
      </c>
      <c r="E701" s="22">
        <v>0</v>
      </c>
      <c r="F701" s="21">
        <v>0</v>
      </c>
      <c r="G701" s="21">
        <v>0</v>
      </c>
      <c r="H701" s="21">
        <v>0</v>
      </c>
      <c r="I701" s="21">
        <v>0</v>
      </c>
      <c r="J701" s="22">
        <v>600000</v>
      </c>
      <c r="K701" s="21">
        <v>0</v>
      </c>
      <c r="L701" s="21">
        <v>0</v>
      </c>
      <c r="M701" s="21">
        <v>0</v>
      </c>
      <c r="N701" s="21">
        <v>600000</v>
      </c>
      <c r="O701" s="21">
        <v>600000</v>
      </c>
      <c r="P701" s="22">
        <f t="shared" si="134"/>
        <v>600000</v>
      </c>
    </row>
    <row r="702" spans="1:16" hidden="1">
      <c r="A702" s="6" t="s">
        <v>240</v>
      </c>
      <c r="B702" s="6" t="s">
        <v>241</v>
      </c>
      <c r="C702" s="8"/>
      <c r="D702" s="9" t="s">
        <v>242</v>
      </c>
      <c r="E702" s="10">
        <v>0</v>
      </c>
      <c r="F702" s="11">
        <v>0</v>
      </c>
      <c r="G702" s="11">
        <v>0</v>
      </c>
      <c r="H702" s="11">
        <v>0</v>
      </c>
      <c r="I702" s="11">
        <v>0</v>
      </c>
      <c r="J702" s="10">
        <v>1400000</v>
      </c>
      <c r="K702" s="11">
        <v>0</v>
      </c>
      <c r="L702" s="11">
        <v>0</v>
      </c>
      <c r="M702" s="11">
        <v>0</v>
      </c>
      <c r="N702" s="11">
        <v>1400000</v>
      </c>
      <c r="O702" s="11">
        <v>0</v>
      </c>
      <c r="P702" s="10">
        <f t="shared" si="134"/>
        <v>1400000</v>
      </c>
    </row>
    <row r="703" spans="1:16" ht="89.25" hidden="1">
      <c r="A703" s="12" t="s">
        <v>191</v>
      </c>
      <c r="B703" s="12" t="s">
        <v>243</v>
      </c>
      <c r="C703" s="13" t="s">
        <v>59</v>
      </c>
      <c r="D703" s="65" t="s">
        <v>244</v>
      </c>
      <c r="E703" s="15">
        <v>0</v>
      </c>
      <c r="F703" s="14">
        <v>0</v>
      </c>
      <c r="G703" s="14">
        <v>0</v>
      </c>
      <c r="H703" s="14">
        <v>0</v>
      </c>
      <c r="I703" s="14">
        <v>0</v>
      </c>
      <c r="J703" s="15">
        <v>1400000</v>
      </c>
      <c r="K703" s="14">
        <v>0</v>
      </c>
      <c r="L703" s="14">
        <v>0</v>
      </c>
      <c r="M703" s="14">
        <v>0</v>
      </c>
      <c r="N703" s="14">
        <v>1400000</v>
      </c>
      <c r="O703" s="14">
        <v>0</v>
      </c>
      <c r="P703" s="15">
        <f t="shared" si="134"/>
        <v>1400000</v>
      </c>
    </row>
    <row r="704" spans="1:16" ht="25.5" hidden="1">
      <c r="A704" s="6" t="s">
        <v>245</v>
      </c>
      <c r="B704" s="6" t="s">
        <v>246</v>
      </c>
      <c r="C704" s="8"/>
      <c r="D704" s="9" t="s">
        <v>247</v>
      </c>
      <c r="E704" s="10">
        <v>0</v>
      </c>
      <c r="F704" s="11">
        <v>0</v>
      </c>
      <c r="G704" s="11">
        <v>0</v>
      </c>
      <c r="H704" s="11">
        <v>0</v>
      </c>
      <c r="I704" s="11">
        <v>0</v>
      </c>
      <c r="J704" s="10">
        <v>202000</v>
      </c>
      <c r="K704" s="11">
        <v>202000</v>
      </c>
      <c r="L704" s="11">
        <v>0</v>
      </c>
      <c r="M704" s="11">
        <v>0</v>
      </c>
      <c r="N704" s="11">
        <v>0</v>
      </c>
      <c r="O704" s="11">
        <v>0</v>
      </c>
      <c r="P704" s="10">
        <f t="shared" si="134"/>
        <v>202000</v>
      </c>
    </row>
    <row r="705" spans="1:16" ht="25.5" hidden="1">
      <c r="A705" s="12" t="s">
        <v>169</v>
      </c>
      <c r="B705" s="12" t="s">
        <v>248</v>
      </c>
      <c r="C705" s="13" t="s">
        <v>79</v>
      </c>
      <c r="D705" s="65" t="s">
        <v>90</v>
      </c>
      <c r="E705" s="15">
        <v>0</v>
      </c>
      <c r="F705" s="14">
        <v>0</v>
      </c>
      <c r="G705" s="14">
        <v>0</v>
      </c>
      <c r="H705" s="14">
        <v>0</v>
      </c>
      <c r="I705" s="14">
        <v>0</v>
      </c>
      <c r="J705" s="15">
        <v>202000</v>
      </c>
      <c r="K705" s="14">
        <f>2000+200000</f>
        <v>202000</v>
      </c>
      <c r="L705" s="14">
        <v>0</v>
      </c>
      <c r="M705" s="14">
        <v>0</v>
      </c>
      <c r="N705" s="14">
        <v>0</v>
      </c>
      <c r="O705" s="14">
        <v>0</v>
      </c>
      <c r="P705" s="15">
        <f t="shared" si="134"/>
        <v>202000</v>
      </c>
    </row>
    <row r="706" spans="1:16" ht="25.5" hidden="1">
      <c r="A706" s="6" t="s">
        <v>170</v>
      </c>
      <c r="B706" s="6" t="s">
        <v>249</v>
      </c>
      <c r="C706" s="64" t="s">
        <v>171</v>
      </c>
      <c r="D706" s="9" t="s">
        <v>172</v>
      </c>
      <c r="E706" s="10">
        <v>0</v>
      </c>
      <c r="F706" s="11">
        <v>0</v>
      </c>
      <c r="G706" s="11">
        <v>0</v>
      </c>
      <c r="H706" s="11">
        <v>0</v>
      </c>
      <c r="I706" s="11">
        <v>0</v>
      </c>
      <c r="J706" s="10">
        <v>916000</v>
      </c>
      <c r="K706" s="11">
        <v>916000</v>
      </c>
      <c r="L706" s="11">
        <v>0</v>
      </c>
      <c r="M706" s="11">
        <v>0</v>
      </c>
      <c r="N706" s="11">
        <v>0</v>
      </c>
      <c r="O706" s="11">
        <v>0</v>
      </c>
      <c r="P706" s="10">
        <f t="shared" si="134"/>
        <v>916000</v>
      </c>
    </row>
    <row r="707" spans="1:16" hidden="1">
      <c r="A707" s="6" t="s">
        <v>160</v>
      </c>
      <c r="B707" s="6" t="s">
        <v>250</v>
      </c>
      <c r="C707" s="64" t="s">
        <v>69</v>
      </c>
      <c r="D707" s="9" t="s">
        <v>161</v>
      </c>
      <c r="E707" s="10">
        <v>156552</v>
      </c>
      <c r="F707" s="11">
        <v>156552</v>
      </c>
      <c r="G707" s="11">
        <v>0</v>
      </c>
      <c r="H707" s="11">
        <v>0</v>
      </c>
      <c r="I707" s="11">
        <v>0</v>
      </c>
      <c r="J707" s="10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0">
        <f t="shared" si="134"/>
        <v>156552</v>
      </c>
    </row>
    <row r="708" spans="1:16" hidden="1">
      <c r="A708" s="6"/>
      <c r="B708" s="6"/>
      <c r="C708" s="64"/>
      <c r="D708" s="45" t="s">
        <v>111</v>
      </c>
      <c r="E708" s="22">
        <v>156552</v>
      </c>
      <c r="F708" s="21">
        <v>156552</v>
      </c>
      <c r="G708" s="21">
        <v>0</v>
      </c>
      <c r="H708" s="21">
        <v>0</v>
      </c>
      <c r="I708" s="21">
        <v>0</v>
      </c>
      <c r="J708" s="22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10">
        <f t="shared" si="134"/>
        <v>156552</v>
      </c>
    </row>
    <row r="709" spans="1:16" ht="38.25" hidden="1">
      <c r="A709" s="6" t="s">
        <v>173</v>
      </c>
      <c r="B709" s="6" t="s">
        <v>251</v>
      </c>
      <c r="C709" s="64" t="s">
        <v>114</v>
      </c>
      <c r="D709" s="9" t="s">
        <v>252</v>
      </c>
      <c r="E709" s="10">
        <v>5050000</v>
      </c>
      <c r="F709" s="11">
        <v>5050000</v>
      </c>
      <c r="G709" s="11">
        <v>0</v>
      </c>
      <c r="H709" s="11">
        <v>0</v>
      </c>
      <c r="I709" s="11">
        <v>0</v>
      </c>
      <c r="J709" s="10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0">
        <f t="shared" si="134"/>
        <v>5050000</v>
      </c>
    </row>
    <row r="710" spans="1:16" hidden="1">
      <c r="A710" s="6" t="s">
        <v>253</v>
      </c>
      <c r="B710" s="6" t="s">
        <v>254</v>
      </c>
      <c r="C710" s="64" t="s">
        <v>114</v>
      </c>
      <c r="D710" s="9" t="s">
        <v>255</v>
      </c>
      <c r="E710" s="10">
        <v>447200</v>
      </c>
      <c r="F710" s="11">
        <v>447200</v>
      </c>
      <c r="G710" s="11">
        <v>0</v>
      </c>
      <c r="H710" s="11">
        <v>0</v>
      </c>
      <c r="I710" s="11">
        <v>0</v>
      </c>
      <c r="J710" s="10">
        <v>70000</v>
      </c>
      <c r="K710" s="11">
        <v>0</v>
      </c>
      <c r="L710" s="11">
        <v>0</v>
      </c>
      <c r="M710" s="11">
        <v>0</v>
      </c>
      <c r="N710" s="11">
        <v>70000</v>
      </c>
      <c r="O710" s="11">
        <v>70000</v>
      </c>
      <c r="P710" s="10">
        <f t="shared" si="134"/>
        <v>517200</v>
      </c>
    </row>
    <row r="711" spans="1:16" ht="38.25" hidden="1">
      <c r="A711" s="6" t="s">
        <v>256</v>
      </c>
      <c r="B711" s="6" t="s">
        <v>257</v>
      </c>
      <c r="C711" s="64" t="s">
        <v>114</v>
      </c>
      <c r="D711" s="9" t="s">
        <v>258</v>
      </c>
      <c r="E711" s="10">
        <v>390000</v>
      </c>
      <c r="F711" s="11">
        <v>390000</v>
      </c>
      <c r="G711" s="11">
        <v>0</v>
      </c>
      <c r="H711" s="11">
        <v>0</v>
      </c>
      <c r="I711" s="11">
        <v>0</v>
      </c>
      <c r="J711" s="10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0">
        <f t="shared" si="134"/>
        <v>390000</v>
      </c>
    </row>
    <row r="712" spans="1:16" hidden="1">
      <c r="A712" s="6" t="s">
        <v>264</v>
      </c>
      <c r="B712" s="6"/>
      <c r="C712" s="64"/>
      <c r="D712" s="11" t="s">
        <v>266</v>
      </c>
      <c r="E712" s="10">
        <f t="shared" ref="E712:O712" si="135">E713</f>
        <v>21235226</v>
      </c>
      <c r="F712" s="11">
        <f t="shared" si="135"/>
        <v>21235226</v>
      </c>
      <c r="G712" s="11">
        <f t="shared" si="135"/>
        <v>11836606</v>
      </c>
      <c r="H712" s="11">
        <f t="shared" si="135"/>
        <v>3285587</v>
      </c>
      <c r="I712" s="11">
        <f t="shared" si="135"/>
        <v>0</v>
      </c>
      <c r="J712" s="10">
        <f t="shared" si="135"/>
        <v>1697424</v>
      </c>
      <c r="K712" s="11">
        <f t="shared" si="135"/>
        <v>88081</v>
      </c>
      <c r="L712" s="11">
        <f t="shared" si="135"/>
        <v>0</v>
      </c>
      <c r="M712" s="11">
        <f t="shared" si="135"/>
        <v>0</v>
      </c>
      <c r="N712" s="11">
        <f t="shared" si="135"/>
        <v>1609343</v>
      </c>
      <c r="O712" s="11">
        <f t="shared" si="135"/>
        <v>1609343</v>
      </c>
      <c r="P712" s="10">
        <f t="shared" si="134"/>
        <v>22932650</v>
      </c>
    </row>
    <row r="713" spans="1:16" ht="25.5" hidden="1">
      <c r="A713" s="6" t="s">
        <v>265</v>
      </c>
      <c r="B713" s="6"/>
      <c r="C713" s="64"/>
      <c r="D713" s="11" t="s">
        <v>267</v>
      </c>
      <c r="E713" s="10">
        <f>F713+I713</f>
        <v>21235226</v>
      </c>
      <c r="F713" s="11">
        <f>F714+F715+F717</f>
        <v>21235226</v>
      </c>
      <c r="G713" s="11">
        <f>G714+G715+G717</f>
        <v>11836606</v>
      </c>
      <c r="H713" s="11">
        <f>H714+H715+H717</f>
        <v>3285587</v>
      </c>
      <c r="I713" s="11">
        <f>I714+I715+I717</f>
        <v>0</v>
      </c>
      <c r="J713" s="10">
        <f>K713+N713</f>
        <v>1697424</v>
      </c>
      <c r="K713" s="11">
        <f>K714+K715+K717</f>
        <v>88081</v>
      </c>
      <c r="L713" s="11">
        <f>L714+L715+L717</f>
        <v>0</v>
      </c>
      <c r="M713" s="11">
        <f>M714+M715+M717</f>
        <v>0</v>
      </c>
      <c r="N713" s="11">
        <f>N714+N715+N717</f>
        <v>1609343</v>
      </c>
      <c r="O713" s="11">
        <f>O714+O715+O717</f>
        <v>1609343</v>
      </c>
      <c r="P713" s="10">
        <f t="shared" si="134"/>
        <v>22932650</v>
      </c>
    </row>
    <row r="714" spans="1:16" hidden="1">
      <c r="A714" s="6" t="s">
        <v>268</v>
      </c>
      <c r="B714" s="6">
        <v>1010</v>
      </c>
      <c r="C714" s="64" t="s">
        <v>129</v>
      </c>
      <c r="D714" s="9" t="s">
        <v>132</v>
      </c>
      <c r="E714" s="10">
        <v>1941782</v>
      </c>
      <c r="F714" s="11">
        <v>1941782</v>
      </c>
      <c r="G714" s="11">
        <v>1255491</v>
      </c>
      <c r="H714" s="11">
        <v>201977</v>
      </c>
      <c r="I714" s="11">
        <v>0</v>
      </c>
      <c r="J714" s="10">
        <v>736510</v>
      </c>
      <c r="K714" s="11">
        <v>50000</v>
      </c>
      <c r="L714" s="11">
        <v>0</v>
      </c>
      <c r="M714" s="11">
        <v>0</v>
      </c>
      <c r="N714" s="11">
        <v>686510</v>
      </c>
      <c r="O714" s="11">
        <v>686510</v>
      </c>
      <c r="P714" s="10">
        <f t="shared" si="134"/>
        <v>2678292</v>
      </c>
    </row>
    <row r="715" spans="1:16" ht="63.75" hidden="1">
      <c r="A715" s="6" t="s">
        <v>269</v>
      </c>
      <c r="B715" s="6" t="s">
        <v>29</v>
      </c>
      <c r="C715" s="64" t="s">
        <v>28</v>
      </c>
      <c r="D715" s="9" t="s">
        <v>203</v>
      </c>
      <c r="E715" s="10">
        <v>18173316</v>
      </c>
      <c r="F715" s="11">
        <v>18173316</v>
      </c>
      <c r="G715" s="11">
        <v>10110649</v>
      </c>
      <c r="H715" s="11">
        <v>3083610</v>
      </c>
      <c r="I715" s="11">
        <v>0</v>
      </c>
      <c r="J715" s="10">
        <v>936914</v>
      </c>
      <c r="K715" s="11">
        <v>38081</v>
      </c>
      <c r="L715" s="11">
        <v>0</v>
      </c>
      <c r="M715" s="11">
        <v>0</v>
      </c>
      <c r="N715" s="11">
        <v>898833</v>
      </c>
      <c r="O715" s="11">
        <v>898833</v>
      </c>
      <c r="P715" s="10">
        <f t="shared" si="134"/>
        <v>19110230</v>
      </c>
    </row>
    <row r="716" spans="1:16" ht="25.5" hidden="1">
      <c r="A716" s="6"/>
      <c r="B716" s="6"/>
      <c r="C716" s="64"/>
      <c r="D716" s="46" t="s">
        <v>133</v>
      </c>
      <c r="E716" s="42">
        <f>F716+I716</f>
        <v>13801200</v>
      </c>
      <c r="F716" s="14">
        <v>13801200</v>
      </c>
      <c r="G716" s="14">
        <v>11312500</v>
      </c>
      <c r="H716" s="11">
        <v>0</v>
      </c>
      <c r="I716" s="11">
        <v>0</v>
      </c>
      <c r="J716" s="10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0">
        <f t="shared" si="134"/>
        <v>13801200</v>
      </c>
    </row>
    <row r="717" spans="1:16" hidden="1">
      <c r="A717" s="6" t="s">
        <v>270</v>
      </c>
      <c r="B717" s="6">
        <v>1160</v>
      </c>
      <c r="C717" s="64"/>
      <c r="D717" s="11" t="s">
        <v>136</v>
      </c>
      <c r="E717" s="10">
        <f t="shared" ref="E717:O717" si="136">E718+E719</f>
        <v>1120128</v>
      </c>
      <c r="F717" s="32">
        <f t="shared" si="136"/>
        <v>1120128</v>
      </c>
      <c r="G717" s="32">
        <f t="shared" si="136"/>
        <v>470466</v>
      </c>
      <c r="H717" s="32">
        <f t="shared" si="136"/>
        <v>0</v>
      </c>
      <c r="I717" s="32">
        <f t="shared" si="136"/>
        <v>0</v>
      </c>
      <c r="J717" s="10">
        <f t="shared" si="136"/>
        <v>24000</v>
      </c>
      <c r="K717" s="32">
        <f t="shared" si="136"/>
        <v>0</v>
      </c>
      <c r="L717" s="32">
        <f t="shared" si="136"/>
        <v>0</v>
      </c>
      <c r="M717" s="32">
        <f t="shared" si="136"/>
        <v>0</v>
      </c>
      <c r="N717" s="32">
        <f t="shared" si="136"/>
        <v>24000</v>
      </c>
      <c r="O717" s="32">
        <f t="shared" si="136"/>
        <v>24000</v>
      </c>
      <c r="P717" s="10">
        <f t="shared" si="134"/>
        <v>1144128</v>
      </c>
    </row>
    <row r="718" spans="1:16" ht="25.5" hidden="1">
      <c r="A718" s="12" t="s">
        <v>271</v>
      </c>
      <c r="B718" s="20">
        <v>1161</v>
      </c>
      <c r="C718" s="68" t="s">
        <v>31</v>
      </c>
      <c r="D718" s="21" t="s">
        <v>273</v>
      </c>
      <c r="E718" s="22">
        <v>749870</v>
      </c>
      <c r="F718" s="21">
        <v>749870</v>
      </c>
      <c r="G718" s="21">
        <v>470466</v>
      </c>
      <c r="H718" s="11">
        <v>0</v>
      </c>
      <c r="I718" s="11">
        <v>0</v>
      </c>
      <c r="J718" s="10">
        <v>24000</v>
      </c>
      <c r="K718" s="11">
        <v>0</v>
      </c>
      <c r="L718" s="11">
        <v>0</v>
      </c>
      <c r="M718" s="11">
        <v>0</v>
      </c>
      <c r="N718" s="11">
        <v>24000</v>
      </c>
      <c r="O718" s="11">
        <v>24000</v>
      </c>
      <c r="P718" s="10">
        <f t="shared" si="134"/>
        <v>773870</v>
      </c>
    </row>
    <row r="719" spans="1:16" hidden="1">
      <c r="A719" s="12" t="s">
        <v>272</v>
      </c>
      <c r="B719" s="12" t="s">
        <v>208</v>
      </c>
      <c r="C719" s="13" t="s">
        <v>31</v>
      </c>
      <c r="D719" s="65" t="s">
        <v>136</v>
      </c>
      <c r="E719" s="22">
        <v>370258</v>
      </c>
      <c r="F719" s="21">
        <v>370258</v>
      </c>
      <c r="G719" s="11">
        <v>0</v>
      </c>
      <c r="H719" s="11">
        <v>0</v>
      </c>
      <c r="I719" s="11">
        <v>0</v>
      </c>
      <c r="J719" s="10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0">
        <f t="shared" si="134"/>
        <v>370258</v>
      </c>
    </row>
    <row r="720" spans="1:16" hidden="1">
      <c r="A720" s="16"/>
      <c r="B720" s="17" t="s">
        <v>93</v>
      </c>
      <c r="C720" s="18"/>
      <c r="D720" s="10" t="s">
        <v>10</v>
      </c>
      <c r="E720" s="10">
        <f t="shared" ref="E720:O720" si="137">E663+E712</f>
        <v>69380126</v>
      </c>
      <c r="F720" s="10">
        <f t="shared" si="137"/>
        <v>69280126</v>
      </c>
      <c r="G720" s="10">
        <f t="shared" si="137"/>
        <v>28795185</v>
      </c>
      <c r="H720" s="10">
        <f t="shared" si="137"/>
        <v>6942590</v>
      </c>
      <c r="I720" s="10">
        <f t="shared" si="137"/>
        <v>100000</v>
      </c>
      <c r="J720" s="10">
        <f t="shared" si="137"/>
        <v>29017930</v>
      </c>
      <c r="K720" s="10">
        <f t="shared" si="137"/>
        <v>1288000</v>
      </c>
      <c r="L720" s="10">
        <f t="shared" si="137"/>
        <v>0</v>
      </c>
      <c r="M720" s="10">
        <f t="shared" si="137"/>
        <v>0</v>
      </c>
      <c r="N720" s="10">
        <f t="shared" si="137"/>
        <v>27729930</v>
      </c>
      <c r="O720" s="10">
        <f t="shared" si="137"/>
        <v>26329930</v>
      </c>
      <c r="P720" s="10">
        <f t="shared" si="134"/>
        <v>98398056</v>
      </c>
    </row>
    <row r="721" spans="1:16" hidden="1"/>
    <row r="722" spans="1:16" hidden="1"/>
    <row r="723" spans="1:16" hidden="1">
      <c r="B723" s="2" t="s">
        <v>259</v>
      </c>
      <c r="I723" s="2" t="s">
        <v>178</v>
      </c>
    </row>
    <row r="724" spans="1:16" hidden="1"/>
    <row r="725" spans="1:16" hidden="1">
      <c r="A725" t="s">
        <v>193</v>
      </c>
      <c r="M725" s="91" t="s">
        <v>277</v>
      </c>
      <c r="N725" s="91"/>
      <c r="O725" s="91"/>
      <c r="P725" s="91"/>
    </row>
    <row r="726" spans="1:16" hidden="1">
      <c r="M726" s="91"/>
      <c r="N726" s="91"/>
      <c r="O726" s="91"/>
      <c r="P726" s="91"/>
    </row>
    <row r="727" spans="1:16" hidden="1">
      <c r="M727" s="91"/>
      <c r="N727" s="91"/>
      <c r="O727" s="91"/>
      <c r="P727" s="91"/>
    </row>
    <row r="728" spans="1:16" ht="36.75" hidden="1" customHeight="1">
      <c r="M728" s="91"/>
      <c r="N728" s="91"/>
      <c r="O728" s="91"/>
      <c r="P728" s="91"/>
    </row>
    <row r="729" spans="1:16" hidden="1">
      <c r="A729" s="92" t="s">
        <v>2</v>
      </c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</row>
    <row r="730" spans="1:16" hidden="1">
      <c r="A730" s="92" t="s">
        <v>175</v>
      </c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</row>
    <row r="731" spans="1:16" hidden="1">
      <c r="P731" s="1" t="s">
        <v>4</v>
      </c>
    </row>
    <row r="732" spans="1:16" hidden="1">
      <c r="A732" s="94" t="s">
        <v>5</v>
      </c>
      <c r="B732" s="94" t="s">
        <v>6</v>
      </c>
      <c r="C732" s="94" t="s">
        <v>7</v>
      </c>
      <c r="D732" s="95" t="s">
        <v>8</v>
      </c>
      <c r="E732" s="95" t="s">
        <v>9</v>
      </c>
      <c r="F732" s="95"/>
      <c r="G732" s="95"/>
      <c r="H732" s="95"/>
      <c r="I732" s="95"/>
      <c r="J732" s="95" t="s">
        <v>16</v>
      </c>
      <c r="K732" s="95"/>
      <c r="L732" s="95"/>
      <c r="M732" s="95"/>
      <c r="N732" s="95"/>
      <c r="O732" s="95"/>
      <c r="P732" s="96" t="s">
        <v>194</v>
      </c>
    </row>
    <row r="733" spans="1:16" hidden="1">
      <c r="A733" s="95"/>
      <c r="B733" s="95"/>
      <c r="C733" s="95"/>
      <c r="D733" s="95"/>
      <c r="E733" s="96" t="s">
        <v>10</v>
      </c>
      <c r="F733" s="95" t="s">
        <v>11</v>
      </c>
      <c r="G733" s="95" t="s">
        <v>12</v>
      </c>
      <c r="H733" s="95"/>
      <c r="I733" s="95" t="s">
        <v>15</v>
      </c>
      <c r="J733" s="96" t="s">
        <v>10</v>
      </c>
      <c r="K733" s="95" t="s">
        <v>11</v>
      </c>
      <c r="L733" s="95" t="s">
        <v>12</v>
      </c>
      <c r="M733" s="95"/>
      <c r="N733" s="95" t="s">
        <v>15</v>
      </c>
      <c r="O733" s="71" t="s">
        <v>12</v>
      </c>
      <c r="P733" s="95"/>
    </row>
    <row r="734" spans="1:16" hidden="1">
      <c r="A734" s="95"/>
      <c r="B734" s="95"/>
      <c r="C734" s="95"/>
      <c r="D734" s="95"/>
      <c r="E734" s="95"/>
      <c r="F734" s="95"/>
      <c r="G734" s="95" t="s">
        <v>13</v>
      </c>
      <c r="H734" s="95" t="s">
        <v>14</v>
      </c>
      <c r="I734" s="95"/>
      <c r="J734" s="95"/>
      <c r="K734" s="95"/>
      <c r="L734" s="95" t="s">
        <v>13</v>
      </c>
      <c r="M734" s="95" t="s">
        <v>14</v>
      </c>
      <c r="N734" s="95"/>
      <c r="O734" s="95" t="s">
        <v>17</v>
      </c>
      <c r="P734" s="95"/>
    </row>
    <row r="735" spans="1:16" hidden="1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</row>
    <row r="736" spans="1:16" hidden="1">
      <c r="A736" s="71">
        <v>1</v>
      </c>
      <c r="B736" s="71">
        <v>2</v>
      </c>
      <c r="C736" s="71">
        <v>3</v>
      </c>
      <c r="D736" s="71">
        <v>4</v>
      </c>
      <c r="E736" s="72">
        <v>5</v>
      </c>
      <c r="F736" s="71">
        <v>6</v>
      </c>
      <c r="G736" s="71">
        <v>7</v>
      </c>
      <c r="H736" s="71">
        <v>8</v>
      </c>
      <c r="I736" s="71">
        <v>9</v>
      </c>
      <c r="J736" s="72">
        <v>10</v>
      </c>
      <c r="K736" s="71">
        <v>11</v>
      </c>
      <c r="L736" s="71">
        <v>12</v>
      </c>
      <c r="M736" s="71">
        <v>13</v>
      </c>
      <c r="N736" s="71">
        <v>14</v>
      </c>
      <c r="O736" s="71">
        <v>15</v>
      </c>
      <c r="P736" s="72">
        <v>16</v>
      </c>
    </row>
    <row r="737" spans="1:16" hidden="1">
      <c r="A737" s="6" t="s">
        <v>124</v>
      </c>
      <c r="B737" s="7"/>
      <c r="C737" s="8"/>
      <c r="D737" s="45" t="s">
        <v>182</v>
      </c>
      <c r="E737" s="10">
        <f>E739+E741+E743+E744+E747+E749+E753+E755+E756+E757+E758+E763+E766+E768+E770+E771+E773+E775+E776+E780+E782+E783+E784+E786+E788+E789+E740+E751+E787</f>
        <v>52697773</v>
      </c>
      <c r="F737" s="10">
        <f t="shared" ref="F737:M737" si="138">F739+F741+F743+F744+F747+F749+F753+F755+F756+F757+F758+F763+F766+F768+F770+F771+F773+F775+F776+F780+F782+F783+F784+F786+F788+F789+F740</f>
        <v>50997773</v>
      </c>
      <c r="G737" s="10">
        <f t="shared" si="138"/>
        <v>16958579</v>
      </c>
      <c r="H737" s="10">
        <f t="shared" si="138"/>
        <v>3657003</v>
      </c>
      <c r="I737" s="10">
        <f t="shared" si="138"/>
        <v>150000</v>
      </c>
      <c r="J737" s="10">
        <f>J739+J741+J743+J744+J747+J749+J753+J755+J756+J757+J758+J763+J766+J768+J770+J771+J773+J775+J776+J780+J782+J783+J784+J786+J788+J789+J740+J751</f>
        <v>28808702</v>
      </c>
      <c r="K737" s="10">
        <f t="shared" si="138"/>
        <v>1199919</v>
      </c>
      <c r="L737" s="10">
        <f t="shared" si="138"/>
        <v>0</v>
      </c>
      <c r="M737" s="10">
        <f t="shared" si="138"/>
        <v>0</v>
      </c>
      <c r="N737" s="10">
        <f>N739+N741+N743+N744+N747+N749+N753+N755+N756+N757+N758+N763+N766+N768+N770+N771+N773+N775+N776+N780+N782+N783+N784+N786+N788+N789+N740+N750</f>
        <v>27608783</v>
      </c>
      <c r="O737" s="10">
        <f>O739+O741+O743+O744+O747+O749+O753+O755+O756+O757+O758+O763+O766+O768+O770+O771+O773+O775+O776+O780+O782+O783+O784+O786+O788+O789+O740+O750</f>
        <v>26208783</v>
      </c>
      <c r="P737" s="10">
        <f>P739+P741+P743+P744+P747+P749+P753+P755+P756+P757+P758+P763+P766+P768+P770+P771+P773+P775+P776+P780+P782+P783+P784+P786+P788+P789+P740+P751+P787</f>
        <v>81506475</v>
      </c>
    </row>
    <row r="738" spans="1:16" hidden="1">
      <c r="A738" s="6" t="s">
        <v>125</v>
      </c>
      <c r="B738" s="7"/>
      <c r="C738" s="8"/>
      <c r="D738" s="45" t="s">
        <v>182</v>
      </c>
      <c r="E738" s="10">
        <f t="shared" ref="E738:P738" si="139">E737</f>
        <v>52697773</v>
      </c>
      <c r="F738" s="10">
        <f t="shared" si="139"/>
        <v>50997773</v>
      </c>
      <c r="G738" s="10">
        <f t="shared" si="139"/>
        <v>16958579</v>
      </c>
      <c r="H738" s="10">
        <f t="shared" si="139"/>
        <v>3657003</v>
      </c>
      <c r="I738" s="10">
        <f t="shared" si="139"/>
        <v>150000</v>
      </c>
      <c r="J738" s="10">
        <f t="shared" si="139"/>
        <v>28808702</v>
      </c>
      <c r="K738" s="10">
        <f t="shared" si="139"/>
        <v>1199919</v>
      </c>
      <c r="L738" s="10">
        <f t="shared" si="139"/>
        <v>0</v>
      </c>
      <c r="M738" s="10">
        <f t="shared" si="139"/>
        <v>0</v>
      </c>
      <c r="N738" s="10">
        <f t="shared" si="139"/>
        <v>27608783</v>
      </c>
      <c r="O738" s="10">
        <f t="shared" si="139"/>
        <v>26208783</v>
      </c>
      <c r="P738" s="10">
        <f t="shared" si="139"/>
        <v>81506475</v>
      </c>
    </row>
    <row r="739" spans="1:16" ht="63.75" hidden="1">
      <c r="A739" s="6" t="s">
        <v>126</v>
      </c>
      <c r="B739" s="6" t="s">
        <v>127</v>
      </c>
      <c r="C739" s="64" t="s">
        <v>23</v>
      </c>
      <c r="D739" s="9" t="s">
        <v>181</v>
      </c>
      <c r="E739" s="10">
        <v>12498997</v>
      </c>
      <c r="F739" s="11">
        <v>12498997</v>
      </c>
      <c r="G739" s="11">
        <v>7543175</v>
      </c>
      <c r="H739" s="11">
        <v>856886</v>
      </c>
      <c r="I739" s="11">
        <v>0</v>
      </c>
      <c r="J739" s="10">
        <v>323196</v>
      </c>
      <c r="K739" s="11">
        <v>35000</v>
      </c>
      <c r="L739" s="11">
        <v>0</v>
      </c>
      <c r="M739" s="11">
        <v>0</v>
      </c>
      <c r="N739" s="11">
        <v>288196</v>
      </c>
      <c r="O739" s="11">
        <v>288196</v>
      </c>
      <c r="P739" s="10">
        <f t="shared" ref="P739:P799" si="140">E739+J739</f>
        <v>12822193</v>
      </c>
    </row>
    <row r="740" spans="1:16" ht="38.25" hidden="1">
      <c r="A740" s="6" t="s">
        <v>262</v>
      </c>
      <c r="B740" s="6" t="s">
        <v>200</v>
      </c>
      <c r="C740" s="64" t="s">
        <v>23</v>
      </c>
      <c r="D740" s="11" t="s">
        <v>263</v>
      </c>
      <c r="E740" s="10">
        <v>230941</v>
      </c>
      <c r="F740" s="11">
        <v>230941</v>
      </c>
      <c r="G740" s="11">
        <v>189295</v>
      </c>
      <c r="H740" s="11">
        <v>0</v>
      </c>
      <c r="I740" s="11">
        <v>0</v>
      </c>
      <c r="J740" s="10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0">
        <f t="shared" si="140"/>
        <v>230941</v>
      </c>
    </row>
    <row r="741" spans="1:16" ht="38.25" hidden="1">
      <c r="A741" s="6" t="s">
        <v>195</v>
      </c>
      <c r="B741" s="6" t="s">
        <v>196</v>
      </c>
      <c r="C741" s="8"/>
      <c r="D741" s="9" t="s">
        <v>197</v>
      </c>
      <c r="E741" s="10">
        <v>95000</v>
      </c>
      <c r="F741" s="11">
        <v>95000</v>
      </c>
      <c r="G741" s="11">
        <v>62680</v>
      </c>
      <c r="H741" s="11">
        <v>0</v>
      </c>
      <c r="I741" s="11">
        <v>0</v>
      </c>
      <c r="J741" s="10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0">
        <f t="shared" si="140"/>
        <v>95000</v>
      </c>
    </row>
    <row r="742" spans="1:16" hidden="1">
      <c r="A742" s="12" t="s">
        <v>198</v>
      </c>
      <c r="B742" s="12" t="s">
        <v>199</v>
      </c>
      <c r="C742" s="13" t="s">
        <v>200</v>
      </c>
      <c r="D742" s="65" t="s">
        <v>201</v>
      </c>
      <c r="E742" s="15">
        <v>95000</v>
      </c>
      <c r="F742" s="14">
        <v>95000</v>
      </c>
      <c r="G742" s="14">
        <v>62680</v>
      </c>
      <c r="H742" s="14">
        <v>0</v>
      </c>
      <c r="I742" s="14">
        <v>0</v>
      </c>
      <c r="J742" s="15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5">
        <f t="shared" si="140"/>
        <v>95000</v>
      </c>
    </row>
    <row r="743" spans="1:16" hidden="1">
      <c r="A743" s="6" t="s">
        <v>128</v>
      </c>
      <c r="B743" s="6" t="s">
        <v>202</v>
      </c>
      <c r="C743" s="64" t="s">
        <v>129</v>
      </c>
      <c r="D743" s="9" t="s">
        <v>132</v>
      </c>
      <c r="E743" s="10">
        <v>910870</v>
      </c>
      <c r="F743" s="11">
        <v>910870</v>
      </c>
      <c r="G743" s="11">
        <v>416434</v>
      </c>
      <c r="H743" s="11">
        <v>146169</v>
      </c>
      <c r="I743" s="11">
        <v>0</v>
      </c>
      <c r="J743" s="10">
        <v>73490</v>
      </c>
      <c r="K743" s="11">
        <v>0</v>
      </c>
      <c r="L743" s="11">
        <v>0</v>
      </c>
      <c r="M743" s="11">
        <v>0</v>
      </c>
      <c r="N743" s="11">
        <v>73490</v>
      </c>
      <c r="O743" s="11">
        <v>73490</v>
      </c>
      <c r="P743" s="10">
        <f t="shared" si="140"/>
        <v>984360</v>
      </c>
    </row>
    <row r="744" spans="1:16" ht="63.75" hidden="1">
      <c r="A744" s="6" t="s">
        <v>130</v>
      </c>
      <c r="B744" s="6" t="s">
        <v>29</v>
      </c>
      <c r="C744" s="64" t="s">
        <v>28</v>
      </c>
      <c r="D744" s="9" t="s">
        <v>203</v>
      </c>
      <c r="E744" s="10">
        <v>5285172</v>
      </c>
      <c r="F744" s="11">
        <v>5285172</v>
      </c>
      <c r="G744" s="11">
        <v>3641362</v>
      </c>
      <c r="H744" s="11">
        <v>487398</v>
      </c>
      <c r="I744" s="11">
        <v>0</v>
      </c>
      <c r="J744" s="10">
        <v>41919</v>
      </c>
      <c r="K744" s="11">
        <v>41919</v>
      </c>
      <c r="L744" s="11">
        <v>0</v>
      </c>
      <c r="M744" s="11">
        <v>0</v>
      </c>
      <c r="N744" s="11">
        <v>0</v>
      </c>
      <c r="O744" s="11">
        <v>0</v>
      </c>
      <c r="P744" s="10">
        <f t="shared" si="140"/>
        <v>5327091</v>
      </c>
    </row>
    <row r="745" spans="1:16" ht="25.5" hidden="1">
      <c r="A745" s="6"/>
      <c r="B745" s="6"/>
      <c r="C745" s="64"/>
      <c r="D745" s="46" t="s">
        <v>133</v>
      </c>
      <c r="E745" s="42">
        <f>F745+I745</f>
        <v>13801200</v>
      </c>
      <c r="F745" s="14">
        <v>13801200</v>
      </c>
      <c r="G745" s="14">
        <v>11312500</v>
      </c>
      <c r="H745" s="11"/>
      <c r="I745" s="11"/>
      <c r="J745" s="10"/>
      <c r="K745" s="11"/>
      <c r="L745" s="11"/>
      <c r="M745" s="11"/>
      <c r="N745" s="11"/>
      <c r="O745" s="11"/>
      <c r="P745" s="10">
        <f t="shared" si="140"/>
        <v>13801200</v>
      </c>
    </row>
    <row r="746" spans="1:16" hidden="1">
      <c r="A746" s="6" t="s">
        <v>130</v>
      </c>
      <c r="B746" s="6">
        <v>1020</v>
      </c>
      <c r="C746" s="39" t="s">
        <v>28</v>
      </c>
      <c r="D746" s="45" t="s">
        <v>134</v>
      </c>
      <c r="E746" s="42">
        <f>F746+I746</f>
        <v>1437832</v>
      </c>
      <c r="F746" s="14">
        <v>1437832</v>
      </c>
      <c r="G746" s="14">
        <v>838321</v>
      </c>
      <c r="H746" s="14">
        <v>250242</v>
      </c>
      <c r="I746" s="11">
        <v>0</v>
      </c>
      <c r="J746" s="10"/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0">
        <f t="shared" si="140"/>
        <v>1437832</v>
      </c>
    </row>
    <row r="747" spans="1:16" ht="51" hidden="1">
      <c r="A747" s="6" t="s">
        <v>143</v>
      </c>
      <c r="B747" s="6" t="s">
        <v>204</v>
      </c>
      <c r="C747" s="64" t="s">
        <v>184</v>
      </c>
      <c r="D747" s="9" t="s">
        <v>145</v>
      </c>
      <c r="E747" s="10">
        <v>461333</v>
      </c>
      <c r="F747" s="11">
        <v>461333</v>
      </c>
      <c r="G747" s="11">
        <v>373651</v>
      </c>
      <c r="H747" s="11">
        <v>1854</v>
      </c>
      <c r="I747" s="11">
        <v>0</v>
      </c>
      <c r="J747" s="10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0">
        <f t="shared" si="140"/>
        <v>461333</v>
      </c>
    </row>
    <row r="748" spans="1:16" hidden="1">
      <c r="A748" s="6" t="s">
        <v>205</v>
      </c>
      <c r="B748" s="6" t="s">
        <v>206</v>
      </c>
      <c r="C748" s="8"/>
      <c r="D748" s="9" t="s">
        <v>207</v>
      </c>
      <c r="E748" s="10">
        <v>179742</v>
      </c>
      <c r="F748" s="11">
        <v>179742</v>
      </c>
      <c r="G748" s="11">
        <v>0</v>
      </c>
      <c r="H748" s="11">
        <v>0</v>
      </c>
      <c r="I748" s="11">
        <v>0</v>
      </c>
      <c r="J748" s="10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0">
        <f t="shared" si="140"/>
        <v>179742</v>
      </c>
    </row>
    <row r="749" spans="1:16" hidden="1">
      <c r="A749" s="12" t="s">
        <v>135</v>
      </c>
      <c r="B749" s="12" t="s">
        <v>208</v>
      </c>
      <c r="C749" s="13" t="s">
        <v>31</v>
      </c>
      <c r="D749" s="65" t="s">
        <v>136</v>
      </c>
      <c r="E749" s="15">
        <v>179742</v>
      </c>
      <c r="F749" s="14">
        <v>179742</v>
      </c>
      <c r="G749" s="14">
        <v>0</v>
      </c>
      <c r="H749" s="14">
        <v>0</v>
      </c>
      <c r="I749" s="14">
        <v>0</v>
      </c>
      <c r="J749" s="15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5">
        <f t="shared" si="140"/>
        <v>179742</v>
      </c>
    </row>
    <row r="750" spans="1:16" ht="25.5" hidden="1">
      <c r="A750" s="6" t="s">
        <v>278</v>
      </c>
      <c r="B750" s="6">
        <v>2150</v>
      </c>
      <c r="C750" s="13"/>
      <c r="D750" s="11" t="s">
        <v>279</v>
      </c>
      <c r="E750" s="15">
        <v>550000</v>
      </c>
      <c r="F750" s="14">
        <v>550000</v>
      </c>
      <c r="G750" s="14">
        <v>0</v>
      </c>
      <c r="H750" s="14">
        <v>0</v>
      </c>
      <c r="I750" s="14">
        <v>0</v>
      </c>
      <c r="J750" s="15">
        <v>50000</v>
      </c>
      <c r="K750" s="14">
        <v>0</v>
      </c>
      <c r="L750" s="14">
        <v>0</v>
      </c>
      <c r="M750" s="14">
        <v>0</v>
      </c>
      <c r="N750" s="14">
        <v>50000</v>
      </c>
      <c r="O750" s="14">
        <v>50000</v>
      </c>
      <c r="P750" s="10">
        <f t="shared" si="140"/>
        <v>600000</v>
      </c>
    </row>
    <row r="751" spans="1:16" ht="25.5" hidden="1">
      <c r="A751" s="12" t="s">
        <v>280</v>
      </c>
      <c r="B751" s="12">
        <v>2151</v>
      </c>
      <c r="C751" s="13" t="s">
        <v>281</v>
      </c>
      <c r="D751" s="14" t="s">
        <v>282</v>
      </c>
      <c r="E751" s="15">
        <v>550000</v>
      </c>
      <c r="F751" s="14">
        <v>550000</v>
      </c>
      <c r="G751" s="14">
        <v>0</v>
      </c>
      <c r="H751" s="14">
        <v>0</v>
      </c>
      <c r="I751" s="14">
        <v>0</v>
      </c>
      <c r="J751" s="15">
        <v>50000</v>
      </c>
      <c r="K751" s="14">
        <v>0</v>
      </c>
      <c r="L751" s="14">
        <v>0</v>
      </c>
      <c r="M751" s="14">
        <v>0</v>
      </c>
      <c r="N751" s="14">
        <v>50000</v>
      </c>
      <c r="O751" s="14">
        <v>50000</v>
      </c>
      <c r="P751" s="15">
        <f t="shared" si="140"/>
        <v>600000</v>
      </c>
    </row>
    <row r="752" spans="1:16" hidden="1">
      <c r="A752" s="12"/>
      <c r="B752" s="12"/>
      <c r="C752" s="13"/>
      <c r="D752" s="11" t="s">
        <v>283</v>
      </c>
      <c r="E752" s="15">
        <v>550000</v>
      </c>
      <c r="F752" s="14">
        <v>550000</v>
      </c>
      <c r="G752" s="14">
        <v>0</v>
      </c>
      <c r="H752" s="14">
        <v>0</v>
      </c>
      <c r="I752" s="14">
        <v>0</v>
      </c>
      <c r="J752" s="15">
        <v>50000</v>
      </c>
      <c r="K752" s="14">
        <v>0</v>
      </c>
      <c r="L752" s="14">
        <v>0</v>
      </c>
      <c r="M752" s="14">
        <v>0</v>
      </c>
      <c r="N752" s="14">
        <v>50000</v>
      </c>
      <c r="O752" s="14">
        <v>50000</v>
      </c>
      <c r="P752" s="15">
        <f t="shared" si="140"/>
        <v>600000</v>
      </c>
    </row>
    <row r="753" spans="1:16" hidden="1">
      <c r="A753" s="6" t="s">
        <v>185</v>
      </c>
      <c r="B753" s="6" t="s">
        <v>209</v>
      </c>
      <c r="C753" s="64" t="s">
        <v>105</v>
      </c>
      <c r="D753" s="9" t="s">
        <v>106</v>
      </c>
      <c r="E753" s="10">
        <v>50000</v>
      </c>
      <c r="F753" s="11">
        <v>50000</v>
      </c>
      <c r="G753" s="11">
        <v>40984</v>
      </c>
      <c r="H753" s="11">
        <v>0</v>
      </c>
      <c r="I753" s="11">
        <v>0</v>
      </c>
      <c r="J753" s="10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0">
        <f t="shared" si="140"/>
        <v>50000</v>
      </c>
    </row>
    <row r="754" spans="1:16" hidden="1">
      <c r="A754" s="6" t="s">
        <v>210</v>
      </c>
      <c r="B754" s="6" t="s">
        <v>211</v>
      </c>
      <c r="C754" s="8"/>
      <c r="D754" s="9" t="s">
        <v>212</v>
      </c>
      <c r="E754" s="10">
        <v>1516000</v>
      </c>
      <c r="F754" s="11">
        <v>1516000</v>
      </c>
      <c r="G754" s="11">
        <v>0</v>
      </c>
      <c r="H754" s="11">
        <v>0</v>
      </c>
      <c r="I754" s="11">
        <v>0</v>
      </c>
      <c r="J754" s="10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0">
        <f t="shared" si="140"/>
        <v>1516000</v>
      </c>
    </row>
    <row r="755" spans="1:16" ht="25.5" hidden="1">
      <c r="A755" s="12" t="s">
        <v>139</v>
      </c>
      <c r="B755" s="12" t="s">
        <v>213</v>
      </c>
      <c r="C755" s="13" t="s">
        <v>36</v>
      </c>
      <c r="D755" s="65" t="s">
        <v>137</v>
      </c>
      <c r="E755" s="15">
        <v>1516000</v>
      </c>
      <c r="F755" s="14">
        <v>1516000</v>
      </c>
      <c r="G755" s="14">
        <v>0</v>
      </c>
      <c r="H755" s="14">
        <v>0</v>
      </c>
      <c r="I755" s="14">
        <v>0</v>
      </c>
      <c r="J755" s="15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5">
        <f t="shared" si="140"/>
        <v>1516000</v>
      </c>
    </row>
    <row r="756" spans="1:16" hidden="1">
      <c r="A756" s="6" t="s">
        <v>140</v>
      </c>
      <c r="B756" s="6" t="s">
        <v>214</v>
      </c>
      <c r="C756" s="64" t="s">
        <v>41</v>
      </c>
      <c r="D756" s="9" t="s">
        <v>138</v>
      </c>
      <c r="E756" s="10">
        <v>156638</v>
      </c>
      <c r="F756" s="11">
        <v>156638</v>
      </c>
      <c r="G756" s="11">
        <v>129942</v>
      </c>
      <c r="H756" s="11">
        <v>0</v>
      </c>
      <c r="I756" s="11">
        <v>0</v>
      </c>
      <c r="J756" s="10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0">
        <f t="shared" si="140"/>
        <v>156638</v>
      </c>
    </row>
    <row r="757" spans="1:16" ht="38.25" hidden="1">
      <c r="A757" s="6" t="s">
        <v>141</v>
      </c>
      <c r="B757" s="6" t="s">
        <v>42</v>
      </c>
      <c r="C757" s="64" t="s">
        <v>44</v>
      </c>
      <c r="D757" s="9" t="s">
        <v>142</v>
      </c>
      <c r="E757" s="10">
        <v>2356464</v>
      </c>
      <c r="F757" s="11">
        <v>2356464</v>
      </c>
      <c r="G757" s="11">
        <v>1153122</v>
      </c>
      <c r="H757" s="11">
        <v>332739</v>
      </c>
      <c r="I757" s="11">
        <v>0</v>
      </c>
      <c r="J757" s="10">
        <v>21984</v>
      </c>
      <c r="K757" s="11">
        <v>5000</v>
      </c>
      <c r="L757" s="11">
        <v>0</v>
      </c>
      <c r="M757" s="11">
        <v>0</v>
      </c>
      <c r="N757" s="11">
        <v>16984</v>
      </c>
      <c r="O757" s="11">
        <v>16984</v>
      </c>
      <c r="P757" s="10">
        <f t="shared" si="140"/>
        <v>2378448</v>
      </c>
    </row>
    <row r="758" spans="1:16" ht="25.5" hidden="1">
      <c r="A758" s="6" t="s">
        <v>215</v>
      </c>
      <c r="B758" s="6" t="s">
        <v>216</v>
      </c>
      <c r="C758" s="8"/>
      <c r="D758" s="9" t="s">
        <v>217</v>
      </c>
      <c r="E758" s="10">
        <v>5450461</v>
      </c>
      <c r="F758" s="11">
        <v>5450461</v>
      </c>
      <c r="G758" s="11">
        <v>3407934</v>
      </c>
      <c r="H758" s="11">
        <v>548427</v>
      </c>
      <c r="I758" s="11">
        <v>0</v>
      </c>
      <c r="J758" s="10">
        <v>892016</v>
      </c>
      <c r="K758" s="11">
        <v>0</v>
      </c>
      <c r="L758" s="11">
        <v>0</v>
      </c>
      <c r="M758" s="11">
        <v>0</v>
      </c>
      <c r="N758" s="11">
        <v>892016</v>
      </c>
      <c r="O758" s="11">
        <v>892016</v>
      </c>
      <c r="P758" s="10">
        <f t="shared" si="140"/>
        <v>6342477</v>
      </c>
    </row>
    <row r="759" spans="1:16" ht="25.5" hidden="1">
      <c r="A759" s="6">
        <v>114081</v>
      </c>
      <c r="B759" s="6">
        <v>4081</v>
      </c>
      <c r="C759" s="13" t="s">
        <v>144</v>
      </c>
      <c r="D759" s="14" t="s">
        <v>275</v>
      </c>
      <c r="E759" s="10">
        <v>5450461</v>
      </c>
      <c r="F759" s="11">
        <v>5450461</v>
      </c>
      <c r="G759" s="11">
        <v>3407934</v>
      </c>
      <c r="H759" s="11">
        <v>548427</v>
      </c>
      <c r="I759" s="11">
        <v>0</v>
      </c>
      <c r="J759" s="10">
        <v>892016</v>
      </c>
      <c r="K759" s="11">
        <v>0</v>
      </c>
      <c r="L759" s="11">
        <v>0</v>
      </c>
      <c r="M759" s="11">
        <v>0</v>
      </c>
      <c r="N759" s="11">
        <v>892016</v>
      </c>
      <c r="O759" s="11">
        <v>892016</v>
      </c>
      <c r="P759" s="10">
        <f t="shared" si="140"/>
        <v>6342477</v>
      </c>
    </row>
    <row r="760" spans="1:16" hidden="1">
      <c r="A760" s="6"/>
      <c r="B760" s="6"/>
      <c r="C760" s="13"/>
      <c r="D760" s="45" t="s">
        <v>276</v>
      </c>
      <c r="E760" s="22">
        <v>5450461</v>
      </c>
      <c r="F760" s="21">
        <v>5450461</v>
      </c>
      <c r="G760" s="21">
        <v>3407934</v>
      </c>
      <c r="H760" s="21">
        <v>548427</v>
      </c>
      <c r="I760" s="21">
        <v>0</v>
      </c>
      <c r="J760" s="22">
        <v>892016</v>
      </c>
      <c r="K760" s="21">
        <v>0</v>
      </c>
      <c r="L760" s="21">
        <v>0</v>
      </c>
      <c r="M760" s="21">
        <v>0</v>
      </c>
      <c r="N760" s="21">
        <v>892016</v>
      </c>
      <c r="O760" s="21">
        <v>892016</v>
      </c>
      <c r="P760" s="22">
        <f t="shared" si="140"/>
        <v>6342477</v>
      </c>
    </row>
    <row r="761" spans="1:16" hidden="1">
      <c r="A761" s="12" t="s">
        <v>180</v>
      </c>
      <c r="B761" s="12" t="s">
        <v>218</v>
      </c>
      <c r="C761" s="13" t="s">
        <v>144</v>
      </c>
      <c r="D761" s="65" t="s">
        <v>179</v>
      </c>
      <c r="E761" s="15">
        <v>0</v>
      </c>
      <c r="F761" s="14">
        <v>0</v>
      </c>
      <c r="G761" s="14">
        <v>0</v>
      </c>
      <c r="H761" s="14">
        <v>0</v>
      </c>
      <c r="I761" s="14">
        <v>0</v>
      </c>
      <c r="J761" s="15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5">
        <f t="shared" si="140"/>
        <v>0</v>
      </c>
    </row>
    <row r="762" spans="1:16" ht="25.5" hidden="1">
      <c r="A762" s="6" t="s">
        <v>219</v>
      </c>
      <c r="B762" s="6" t="s">
        <v>220</v>
      </c>
      <c r="C762" s="8"/>
      <c r="D762" s="9" t="s">
        <v>221</v>
      </c>
      <c r="E762" s="10">
        <v>2800000</v>
      </c>
      <c r="F762" s="11">
        <v>2800000</v>
      </c>
      <c r="G762" s="11">
        <v>0</v>
      </c>
      <c r="H762" s="11">
        <v>0</v>
      </c>
      <c r="I762" s="11">
        <v>0</v>
      </c>
      <c r="J762" s="10">
        <v>567250</v>
      </c>
      <c r="K762" s="11">
        <v>0</v>
      </c>
      <c r="L762" s="11">
        <v>0</v>
      </c>
      <c r="M762" s="11">
        <v>0</v>
      </c>
      <c r="N762" s="11">
        <v>567250</v>
      </c>
      <c r="O762" s="11">
        <v>567250</v>
      </c>
      <c r="P762" s="10">
        <f t="shared" si="140"/>
        <v>3367250</v>
      </c>
    </row>
    <row r="763" spans="1:16" ht="38.25" hidden="1">
      <c r="A763" s="12" t="s">
        <v>146</v>
      </c>
      <c r="B763" s="12" t="s">
        <v>222</v>
      </c>
      <c r="C763" s="13" t="s">
        <v>49</v>
      </c>
      <c r="D763" s="65" t="s">
        <v>51</v>
      </c>
      <c r="E763" s="15">
        <v>2800000</v>
      </c>
      <c r="F763" s="14">
        <v>2800000</v>
      </c>
      <c r="G763" s="14">
        <v>0</v>
      </c>
      <c r="H763" s="14">
        <v>0</v>
      </c>
      <c r="I763" s="14">
        <v>0</v>
      </c>
      <c r="J763" s="15">
        <v>567250</v>
      </c>
      <c r="K763" s="14">
        <v>0</v>
      </c>
      <c r="L763" s="14">
        <v>0</v>
      </c>
      <c r="M763" s="14">
        <v>0</v>
      </c>
      <c r="N763" s="14">
        <v>567250</v>
      </c>
      <c r="O763" s="14">
        <v>567250</v>
      </c>
      <c r="P763" s="15">
        <f t="shared" si="140"/>
        <v>3367250</v>
      </c>
    </row>
    <row r="764" spans="1:16" hidden="1">
      <c r="A764" s="12"/>
      <c r="B764" s="12"/>
      <c r="C764" s="13"/>
      <c r="D764" s="45" t="s">
        <v>107</v>
      </c>
      <c r="E764" s="42">
        <f>F764+I764</f>
        <v>2800000</v>
      </c>
      <c r="F764" s="14">
        <v>2800000</v>
      </c>
      <c r="G764" s="14"/>
      <c r="H764" s="14"/>
      <c r="I764" s="14"/>
      <c r="J764" s="15">
        <v>567250</v>
      </c>
      <c r="K764" s="14"/>
      <c r="L764" s="14"/>
      <c r="M764" s="14"/>
      <c r="N764" s="14">
        <v>567250</v>
      </c>
      <c r="O764" s="14">
        <v>567250</v>
      </c>
      <c r="P764" s="15">
        <f t="shared" si="140"/>
        <v>3367250</v>
      </c>
    </row>
    <row r="765" spans="1:16" ht="25.5" hidden="1">
      <c r="A765" s="6" t="s">
        <v>223</v>
      </c>
      <c r="B765" s="6" t="s">
        <v>224</v>
      </c>
      <c r="C765" s="8"/>
      <c r="D765" s="9" t="s">
        <v>225</v>
      </c>
      <c r="E765" s="10">
        <v>325173</v>
      </c>
      <c r="F765" s="11">
        <v>325173</v>
      </c>
      <c r="G765" s="11">
        <v>0</v>
      </c>
      <c r="H765" s="11">
        <v>0</v>
      </c>
      <c r="I765" s="11">
        <v>0</v>
      </c>
      <c r="J765" s="10">
        <v>3908400</v>
      </c>
      <c r="K765" s="11">
        <v>0</v>
      </c>
      <c r="L765" s="11">
        <v>0</v>
      </c>
      <c r="M765" s="11">
        <v>0</v>
      </c>
      <c r="N765" s="11">
        <v>3908400</v>
      </c>
      <c r="O765" s="11">
        <v>3908400</v>
      </c>
      <c r="P765" s="10">
        <f t="shared" si="140"/>
        <v>4233573</v>
      </c>
    </row>
    <row r="766" spans="1:16" ht="25.5" hidden="1">
      <c r="A766" s="12" t="s">
        <v>149</v>
      </c>
      <c r="B766" s="12" t="s">
        <v>226</v>
      </c>
      <c r="C766" s="13" t="s">
        <v>54</v>
      </c>
      <c r="D766" s="65" t="s">
        <v>150</v>
      </c>
      <c r="E766" s="15">
        <v>325173</v>
      </c>
      <c r="F766" s="14">
        <v>325173</v>
      </c>
      <c r="G766" s="14">
        <v>0</v>
      </c>
      <c r="H766" s="14">
        <v>0</v>
      </c>
      <c r="I766" s="14">
        <v>0</v>
      </c>
      <c r="J766" s="15">
        <v>3908400</v>
      </c>
      <c r="K766" s="14">
        <v>0</v>
      </c>
      <c r="L766" s="14">
        <v>0</v>
      </c>
      <c r="M766" s="14">
        <v>0</v>
      </c>
      <c r="N766" s="14">
        <v>3908400</v>
      </c>
      <c r="O766" s="14">
        <v>3908400</v>
      </c>
      <c r="P766" s="15">
        <f t="shared" si="140"/>
        <v>4233573</v>
      </c>
    </row>
    <row r="767" spans="1:16" hidden="1">
      <c r="A767" s="12"/>
      <c r="B767" s="12"/>
      <c r="C767" s="13"/>
      <c r="D767" s="45" t="s">
        <v>109</v>
      </c>
      <c r="E767" s="15">
        <v>325173</v>
      </c>
      <c r="F767" s="14">
        <v>325173</v>
      </c>
      <c r="G767" s="14">
        <v>0</v>
      </c>
      <c r="H767" s="14">
        <v>0</v>
      </c>
      <c r="I767" s="14">
        <v>0</v>
      </c>
      <c r="J767" s="15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5">
        <f t="shared" si="140"/>
        <v>325173</v>
      </c>
    </row>
    <row r="768" spans="1:16" ht="51" hidden="1">
      <c r="A768" s="6" t="s">
        <v>147</v>
      </c>
      <c r="B768" s="6" t="s">
        <v>227</v>
      </c>
      <c r="C768" s="64" t="s">
        <v>54</v>
      </c>
      <c r="D768" s="9" t="s">
        <v>148</v>
      </c>
      <c r="E768" s="10">
        <v>1996000</v>
      </c>
      <c r="F768" s="11">
        <v>1996000</v>
      </c>
      <c r="G768" s="11">
        <v>0</v>
      </c>
      <c r="H768" s="11">
        <v>0</v>
      </c>
      <c r="I768" s="11">
        <v>0</v>
      </c>
      <c r="J768" s="10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0">
        <f t="shared" si="140"/>
        <v>1996000</v>
      </c>
    </row>
    <row r="769" spans="1:16" hidden="1">
      <c r="A769" s="6"/>
      <c r="B769" s="6"/>
      <c r="C769" s="64"/>
      <c r="D769" s="45" t="s">
        <v>109</v>
      </c>
      <c r="E769" s="22">
        <v>1996000</v>
      </c>
      <c r="F769" s="21">
        <v>1996000</v>
      </c>
      <c r="G769" s="21">
        <v>0</v>
      </c>
      <c r="H769" s="21">
        <v>0</v>
      </c>
      <c r="I769" s="21">
        <v>0</v>
      </c>
      <c r="J769" s="22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2">
        <f t="shared" si="140"/>
        <v>1996000</v>
      </c>
    </row>
    <row r="770" spans="1:16" hidden="1">
      <c r="A770" s="6" t="s">
        <v>151</v>
      </c>
      <c r="B770" s="6" t="s">
        <v>228</v>
      </c>
      <c r="C770" s="64" t="s">
        <v>54</v>
      </c>
      <c r="D770" s="9" t="s">
        <v>152</v>
      </c>
      <c r="E770" s="10">
        <v>7683530</v>
      </c>
      <c r="F770" s="11">
        <v>7683530</v>
      </c>
      <c r="G770" s="11">
        <v>0</v>
      </c>
      <c r="H770" s="11">
        <v>1283530</v>
      </c>
      <c r="I770" s="11">
        <v>0</v>
      </c>
      <c r="J770" s="10">
        <v>9300447</v>
      </c>
      <c r="K770" s="11">
        <v>0</v>
      </c>
      <c r="L770" s="11">
        <v>0</v>
      </c>
      <c r="M770" s="11">
        <v>0</v>
      </c>
      <c r="N770" s="11">
        <v>9300447</v>
      </c>
      <c r="O770" s="11">
        <v>9300447</v>
      </c>
      <c r="P770" s="10">
        <f t="shared" si="140"/>
        <v>16983977</v>
      </c>
    </row>
    <row r="771" spans="1:16" hidden="1">
      <c r="A771" s="6" t="s">
        <v>163</v>
      </c>
      <c r="B771" s="6" t="s">
        <v>229</v>
      </c>
      <c r="C771" s="64" t="s">
        <v>74</v>
      </c>
      <c r="D771" s="9" t="s">
        <v>230</v>
      </c>
      <c r="E771" s="10">
        <v>400000</v>
      </c>
      <c r="F771" s="11">
        <v>250000</v>
      </c>
      <c r="G771" s="11">
        <v>0</v>
      </c>
      <c r="H771" s="11">
        <v>0</v>
      </c>
      <c r="I771" s="11">
        <v>150000</v>
      </c>
      <c r="J771" s="10">
        <v>450000</v>
      </c>
      <c r="K771" s="11">
        <v>0</v>
      </c>
      <c r="L771" s="11">
        <v>0</v>
      </c>
      <c r="M771" s="11">
        <v>0</v>
      </c>
      <c r="N771" s="11">
        <v>450000</v>
      </c>
      <c r="O771" s="11">
        <v>450000</v>
      </c>
      <c r="P771" s="10">
        <f t="shared" si="140"/>
        <v>850000</v>
      </c>
    </row>
    <row r="772" spans="1:16" hidden="1">
      <c r="A772" s="6" t="s">
        <v>154</v>
      </c>
      <c r="B772" s="6" t="s">
        <v>231</v>
      </c>
      <c r="C772" s="8"/>
      <c r="D772" s="9" t="s">
        <v>232</v>
      </c>
      <c r="E772" s="10">
        <v>0</v>
      </c>
      <c r="F772" s="11">
        <v>0</v>
      </c>
      <c r="G772" s="11">
        <v>0</v>
      </c>
      <c r="H772" s="11">
        <v>0</v>
      </c>
      <c r="I772" s="11">
        <v>0</v>
      </c>
      <c r="J772" s="10">
        <v>6100000</v>
      </c>
      <c r="K772" s="11">
        <v>0</v>
      </c>
      <c r="L772" s="11">
        <v>0</v>
      </c>
      <c r="M772" s="11">
        <v>0</v>
      </c>
      <c r="N772" s="11">
        <v>6100000</v>
      </c>
      <c r="O772" s="11">
        <v>6100000</v>
      </c>
      <c r="P772" s="10">
        <f t="shared" si="140"/>
        <v>6100000</v>
      </c>
    </row>
    <row r="773" spans="1:16" ht="38.25" hidden="1">
      <c r="A773" s="12" t="s">
        <v>187</v>
      </c>
      <c r="B773" s="12" t="s">
        <v>233</v>
      </c>
      <c r="C773" s="13" t="s">
        <v>59</v>
      </c>
      <c r="D773" s="65" t="s">
        <v>234</v>
      </c>
      <c r="E773" s="15">
        <v>0</v>
      </c>
      <c r="F773" s="14">
        <v>0</v>
      </c>
      <c r="G773" s="14">
        <v>0</v>
      </c>
      <c r="H773" s="14">
        <v>0</v>
      </c>
      <c r="I773" s="14">
        <v>0</v>
      </c>
      <c r="J773" s="15">
        <v>6100000</v>
      </c>
      <c r="K773" s="14">
        <v>0</v>
      </c>
      <c r="L773" s="14">
        <v>0</v>
      </c>
      <c r="M773" s="14">
        <v>0</v>
      </c>
      <c r="N773" s="14">
        <v>6100000</v>
      </c>
      <c r="O773" s="14">
        <v>6100000</v>
      </c>
      <c r="P773" s="15">
        <f t="shared" si="140"/>
        <v>6100000</v>
      </c>
    </row>
    <row r="774" spans="1:16" ht="25.5" hidden="1">
      <c r="A774" s="6" t="s">
        <v>158</v>
      </c>
      <c r="B774" s="6" t="s">
        <v>235</v>
      </c>
      <c r="C774" s="8"/>
      <c r="D774" s="9" t="s">
        <v>159</v>
      </c>
      <c r="E774" s="10">
        <v>1480000</v>
      </c>
      <c r="F774" s="11">
        <v>1480000</v>
      </c>
      <c r="G774" s="11">
        <v>0</v>
      </c>
      <c r="H774" s="11">
        <v>0</v>
      </c>
      <c r="I774" s="11">
        <v>0</v>
      </c>
      <c r="J774" s="10">
        <v>2592000</v>
      </c>
      <c r="K774" s="11">
        <v>0</v>
      </c>
      <c r="L774" s="11">
        <v>0</v>
      </c>
      <c r="M774" s="11">
        <v>0</v>
      </c>
      <c r="N774" s="11">
        <v>2592000</v>
      </c>
      <c r="O774" s="11">
        <v>2592000</v>
      </c>
      <c r="P774" s="10">
        <f t="shared" si="140"/>
        <v>4072000</v>
      </c>
    </row>
    <row r="775" spans="1:16" ht="25.5" hidden="1">
      <c r="A775" s="12" t="s">
        <v>186</v>
      </c>
      <c r="B775" s="12" t="s">
        <v>236</v>
      </c>
      <c r="C775" s="13" t="s">
        <v>64</v>
      </c>
      <c r="D775" s="65" t="s">
        <v>237</v>
      </c>
      <c r="E775" s="15">
        <v>1480000</v>
      </c>
      <c r="F775" s="14">
        <v>1480000</v>
      </c>
      <c r="G775" s="14">
        <v>0</v>
      </c>
      <c r="H775" s="14">
        <v>0</v>
      </c>
      <c r="I775" s="14">
        <v>0</v>
      </c>
      <c r="J775" s="15">
        <v>2592000</v>
      </c>
      <c r="K775" s="14">
        <v>0</v>
      </c>
      <c r="L775" s="14">
        <v>0</v>
      </c>
      <c r="M775" s="14">
        <v>0</v>
      </c>
      <c r="N775" s="14">
        <v>2592000</v>
      </c>
      <c r="O775" s="14">
        <v>2592000</v>
      </c>
      <c r="P775" s="15">
        <f t="shared" si="140"/>
        <v>4072000</v>
      </c>
    </row>
    <row r="776" spans="1:16" ht="25.5" hidden="1">
      <c r="A776" s="6" t="s">
        <v>166</v>
      </c>
      <c r="B776" s="6" t="s">
        <v>238</v>
      </c>
      <c r="C776" s="64" t="s">
        <v>59</v>
      </c>
      <c r="D776" s="9" t="s">
        <v>239</v>
      </c>
      <c r="E776" s="10">
        <v>0</v>
      </c>
      <c r="F776" s="11">
        <v>0</v>
      </c>
      <c r="G776" s="11">
        <v>0</v>
      </c>
      <c r="H776" s="11">
        <v>0</v>
      </c>
      <c r="I776" s="11">
        <v>0</v>
      </c>
      <c r="J776" s="10">
        <v>1900000</v>
      </c>
      <c r="K776" s="11">
        <v>0</v>
      </c>
      <c r="L776" s="11">
        <v>0</v>
      </c>
      <c r="M776" s="11">
        <v>0</v>
      </c>
      <c r="N776" s="11">
        <v>1900000</v>
      </c>
      <c r="O776" s="11">
        <v>1900000</v>
      </c>
      <c r="P776" s="10">
        <f t="shared" si="140"/>
        <v>1900000</v>
      </c>
    </row>
    <row r="777" spans="1:16" hidden="1">
      <c r="A777" s="6"/>
      <c r="B777" s="6"/>
      <c r="C777" s="64"/>
      <c r="D777" s="45" t="s">
        <v>109</v>
      </c>
      <c r="E777" s="22">
        <v>0</v>
      </c>
      <c r="F777" s="21">
        <v>0</v>
      </c>
      <c r="G777" s="21">
        <v>0</v>
      </c>
      <c r="H777" s="21">
        <v>0</v>
      </c>
      <c r="I777" s="21">
        <v>0</v>
      </c>
      <c r="J777" s="22">
        <v>1300000</v>
      </c>
      <c r="K777" s="21">
        <v>0</v>
      </c>
      <c r="L777" s="21">
        <v>0</v>
      </c>
      <c r="M777" s="21">
        <v>0</v>
      </c>
      <c r="N777" s="21">
        <v>1300000</v>
      </c>
      <c r="O777" s="21">
        <v>1300000</v>
      </c>
      <c r="P777" s="22">
        <f t="shared" si="140"/>
        <v>1300000</v>
      </c>
    </row>
    <row r="778" spans="1:16" hidden="1">
      <c r="A778" s="6"/>
      <c r="B778" s="6"/>
      <c r="C778" s="64"/>
      <c r="D778" s="45" t="s">
        <v>111</v>
      </c>
      <c r="E778" s="22">
        <v>0</v>
      </c>
      <c r="F778" s="21">
        <v>0</v>
      </c>
      <c r="G778" s="21">
        <v>0</v>
      </c>
      <c r="H778" s="21">
        <v>0</v>
      </c>
      <c r="I778" s="21">
        <v>0</v>
      </c>
      <c r="J778" s="22">
        <v>600000</v>
      </c>
      <c r="K778" s="21">
        <v>0</v>
      </c>
      <c r="L778" s="21">
        <v>0</v>
      </c>
      <c r="M778" s="21">
        <v>0</v>
      </c>
      <c r="N778" s="21">
        <v>600000</v>
      </c>
      <c r="O778" s="21">
        <v>600000</v>
      </c>
      <c r="P778" s="22">
        <f t="shared" si="140"/>
        <v>600000</v>
      </c>
    </row>
    <row r="779" spans="1:16" hidden="1">
      <c r="A779" s="6" t="s">
        <v>240</v>
      </c>
      <c r="B779" s="6" t="s">
        <v>241</v>
      </c>
      <c r="C779" s="8"/>
      <c r="D779" s="9" t="s">
        <v>242</v>
      </c>
      <c r="E779" s="10">
        <v>0</v>
      </c>
      <c r="F779" s="11">
        <v>0</v>
      </c>
      <c r="G779" s="11">
        <v>0</v>
      </c>
      <c r="H779" s="11">
        <v>0</v>
      </c>
      <c r="I779" s="11">
        <v>0</v>
      </c>
      <c r="J779" s="10">
        <v>1400000</v>
      </c>
      <c r="K779" s="11">
        <v>0</v>
      </c>
      <c r="L779" s="11">
        <v>0</v>
      </c>
      <c r="M779" s="11">
        <v>0</v>
      </c>
      <c r="N779" s="11">
        <v>1400000</v>
      </c>
      <c r="O779" s="11">
        <v>0</v>
      </c>
      <c r="P779" s="10">
        <f t="shared" si="140"/>
        <v>1400000</v>
      </c>
    </row>
    <row r="780" spans="1:16" ht="89.25" hidden="1">
      <c r="A780" s="12" t="s">
        <v>191</v>
      </c>
      <c r="B780" s="12" t="s">
        <v>243</v>
      </c>
      <c r="C780" s="13" t="s">
        <v>59</v>
      </c>
      <c r="D780" s="65" t="s">
        <v>244</v>
      </c>
      <c r="E780" s="15">
        <v>0</v>
      </c>
      <c r="F780" s="14">
        <v>0</v>
      </c>
      <c r="G780" s="14">
        <v>0</v>
      </c>
      <c r="H780" s="14">
        <v>0</v>
      </c>
      <c r="I780" s="14">
        <v>0</v>
      </c>
      <c r="J780" s="15">
        <v>1400000</v>
      </c>
      <c r="K780" s="14">
        <v>0</v>
      </c>
      <c r="L780" s="14">
        <v>0</v>
      </c>
      <c r="M780" s="14">
        <v>0</v>
      </c>
      <c r="N780" s="14">
        <v>1400000</v>
      </c>
      <c r="O780" s="14">
        <v>0</v>
      </c>
      <c r="P780" s="15">
        <f t="shared" si="140"/>
        <v>1400000</v>
      </c>
    </row>
    <row r="781" spans="1:16" ht="25.5" hidden="1">
      <c r="A781" s="6" t="s">
        <v>245</v>
      </c>
      <c r="B781" s="6" t="s">
        <v>246</v>
      </c>
      <c r="C781" s="8"/>
      <c r="D781" s="9" t="s">
        <v>247</v>
      </c>
      <c r="E781" s="10">
        <v>0</v>
      </c>
      <c r="F781" s="11">
        <v>0</v>
      </c>
      <c r="G781" s="11">
        <v>0</v>
      </c>
      <c r="H781" s="11">
        <v>0</v>
      </c>
      <c r="I781" s="11">
        <v>0</v>
      </c>
      <c r="J781" s="10">
        <v>202000</v>
      </c>
      <c r="K781" s="11">
        <v>202000</v>
      </c>
      <c r="L781" s="11">
        <v>0</v>
      </c>
      <c r="M781" s="11">
        <v>0</v>
      </c>
      <c r="N781" s="11">
        <v>0</v>
      </c>
      <c r="O781" s="11">
        <v>0</v>
      </c>
      <c r="P781" s="10">
        <f t="shared" si="140"/>
        <v>202000</v>
      </c>
    </row>
    <row r="782" spans="1:16" ht="25.5" hidden="1">
      <c r="A782" s="12" t="s">
        <v>169</v>
      </c>
      <c r="B782" s="12" t="s">
        <v>248</v>
      </c>
      <c r="C782" s="13" t="s">
        <v>79</v>
      </c>
      <c r="D782" s="65" t="s">
        <v>90</v>
      </c>
      <c r="E782" s="15">
        <v>0</v>
      </c>
      <c r="F782" s="14">
        <v>0</v>
      </c>
      <c r="G782" s="14">
        <v>0</v>
      </c>
      <c r="H782" s="14">
        <v>0</v>
      </c>
      <c r="I782" s="14">
        <v>0</v>
      </c>
      <c r="J782" s="15">
        <v>202000</v>
      </c>
      <c r="K782" s="14">
        <f>2000+200000</f>
        <v>202000</v>
      </c>
      <c r="L782" s="14">
        <v>0</v>
      </c>
      <c r="M782" s="14">
        <v>0</v>
      </c>
      <c r="N782" s="14">
        <v>0</v>
      </c>
      <c r="O782" s="14">
        <v>0</v>
      </c>
      <c r="P782" s="15">
        <f t="shared" si="140"/>
        <v>202000</v>
      </c>
    </row>
    <row r="783" spans="1:16" ht="25.5" hidden="1">
      <c r="A783" s="6" t="s">
        <v>170</v>
      </c>
      <c r="B783" s="6" t="s">
        <v>249</v>
      </c>
      <c r="C783" s="64" t="s">
        <v>171</v>
      </c>
      <c r="D783" s="9" t="s">
        <v>172</v>
      </c>
      <c r="E783" s="10">
        <v>0</v>
      </c>
      <c r="F783" s="11">
        <v>0</v>
      </c>
      <c r="G783" s="11">
        <v>0</v>
      </c>
      <c r="H783" s="11">
        <v>0</v>
      </c>
      <c r="I783" s="11">
        <v>0</v>
      </c>
      <c r="J783" s="10">
        <v>916000</v>
      </c>
      <c r="K783" s="11">
        <v>916000</v>
      </c>
      <c r="L783" s="11">
        <v>0</v>
      </c>
      <c r="M783" s="11">
        <v>0</v>
      </c>
      <c r="N783" s="11">
        <v>0</v>
      </c>
      <c r="O783" s="11">
        <v>0</v>
      </c>
      <c r="P783" s="10">
        <f t="shared" si="140"/>
        <v>916000</v>
      </c>
    </row>
    <row r="784" spans="1:16" hidden="1">
      <c r="A784" s="6" t="s">
        <v>160</v>
      </c>
      <c r="B784" s="6" t="s">
        <v>250</v>
      </c>
      <c r="C784" s="64" t="s">
        <v>69</v>
      </c>
      <c r="D784" s="9" t="s">
        <v>161</v>
      </c>
      <c r="E784" s="10">
        <v>176552</v>
      </c>
      <c r="F784" s="11">
        <v>176552</v>
      </c>
      <c r="G784" s="11">
        <v>0</v>
      </c>
      <c r="H784" s="11">
        <v>0</v>
      </c>
      <c r="I784" s="11">
        <v>0</v>
      </c>
      <c r="J784" s="10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0">
        <f t="shared" si="140"/>
        <v>176552</v>
      </c>
    </row>
    <row r="785" spans="1:16" hidden="1">
      <c r="A785" s="6"/>
      <c r="B785" s="6"/>
      <c r="C785" s="64"/>
      <c r="D785" s="45" t="s">
        <v>111</v>
      </c>
      <c r="E785" s="22">
        <v>176552</v>
      </c>
      <c r="F785" s="21">
        <v>176552</v>
      </c>
      <c r="G785" s="21">
        <v>0</v>
      </c>
      <c r="H785" s="21">
        <v>0</v>
      </c>
      <c r="I785" s="21">
        <v>0</v>
      </c>
      <c r="J785" s="22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10">
        <f t="shared" si="140"/>
        <v>176552</v>
      </c>
    </row>
    <row r="786" spans="1:16" ht="38.25" hidden="1">
      <c r="A786" s="6" t="s">
        <v>173</v>
      </c>
      <c r="B786" s="6" t="s">
        <v>251</v>
      </c>
      <c r="C786" s="64" t="s">
        <v>114</v>
      </c>
      <c r="D786" s="9" t="s">
        <v>252</v>
      </c>
      <c r="E786" s="10">
        <v>5506500</v>
      </c>
      <c r="F786" s="11">
        <v>5506500</v>
      </c>
      <c r="G786" s="11">
        <v>0</v>
      </c>
      <c r="H786" s="11">
        <v>0</v>
      </c>
      <c r="I786" s="11">
        <v>0</v>
      </c>
      <c r="J786" s="10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0">
        <f t="shared" si="140"/>
        <v>5506500</v>
      </c>
    </row>
    <row r="787" spans="1:16" ht="76.5" hidden="1">
      <c r="A787" s="6" t="s">
        <v>284</v>
      </c>
      <c r="B787" s="6">
        <v>9730</v>
      </c>
      <c r="C787" s="64" t="s">
        <v>114</v>
      </c>
      <c r="D787" s="11" t="s">
        <v>285</v>
      </c>
      <c r="E787" s="10">
        <v>1000000</v>
      </c>
      <c r="F787" s="11">
        <v>1000000</v>
      </c>
      <c r="G787" s="11">
        <v>0</v>
      </c>
      <c r="H787" s="11">
        <v>0</v>
      </c>
      <c r="I787" s="11">
        <v>0</v>
      </c>
      <c r="J787" s="10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0">
        <f t="shared" si="140"/>
        <v>1000000</v>
      </c>
    </row>
    <row r="788" spans="1:16" hidden="1">
      <c r="A788" s="6" t="s">
        <v>253</v>
      </c>
      <c r="B788" s="6" t="s">
        <v>254</v>
      </c>
      <c r="C788" s="64" t="s">
        <v>114</v>
      </c>
      <c r="D788" s="9" t="s">
        <v>255</v>
      </c>
      <c r="E788" s="10">
        <v>998400</v>
      </c>
      <c r="F788" s="11">
        <v>998400</v>
      </c>
      <c r="G788" s="11">
        <v>0</v>
      </c>
      <c r="H788" s="11">
        <v>0</v>
      </c>
      <c r="I788" s="11">
        <v>0</v>
      </c>
      <c r="J788" s="10">
        <v>70000</v>
      </c>
      <c r="K788" s="11">
        <v>0</v>
      </c>
      <c r="L788" s="11">
        <v>0</v>
      </c>
      <c r="M788" s="11">
        <v>0</v>
      </c>
      <c r="N788" s="11">
        <v>70000</v>
      </c>
      <c r="O788" s="11">
        <v>70000</v>
      </c>
      <c r="P788" s="10">
        <f t="shared" si="140"/>
        <v>1068400</v>
      </c>
    </row>
    <row r="789" spans="1:16" ht="38.25" hidden="1">
      <c r="A789" s="6" t="s">
        <v>256</v>
      </c>
      <c r="B789" s="6" t="s">
        <v>257</v>
      </c>
      <c r="C789" s="64" t="s">
        <v>114</v>
      </c>
      <c r="D789" s="9" t="s">
        <v>258</v>
      </c>
      <c r="E789" s="10">
        <v>590000</v>
      </c>
      <c r="F789" s="11">
        <v>590000</v>
      </c>
      <c r="G789" s="11">
        <v>0</v>
      </c>
      <c r="H789" s="11">
        <v>0</v>
      </c>
      <c r="I789" s="11">
        <v>0</v>
      </c>
      <c r="J789" s="10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0">
        <f t="shared" si="140"/>
        <v>590000</v>
      </c>
    </row>
    <row r="790" spans="1:16" hidden="1">
      <c r="A790" s="6" t="s">
        <v>264</v>
      </c>
      <c r="B790" s="6"/>
      <c r="C790" s="64"/>
      <c r="D790" s="11" t="s">
        <v>266</v>
      </c>
      <c r="E790" s="10">
        <f t="shared" ref="E790:O790" si="141">E791</f>
        <v>21436667</v>
      </c>
      <c r="F790" s="11">
        <f t="shared" si="141"/>
        <v>21436667</v>
      </c>
      <c r="G790" s="11">
        <f t="shared" si="141"/>
        <v>11965655</v>
      </c>
      <c r="H790" s="11">
        <f t="shared" si="141"/>
        <v>3285587</v>
      </c>
      <c r="I790" s="11">
        <f t="shared" si="141"/>
        <v>0</v>
      </c>
      <c r="J790" s="10">
        <f t="shared" si="141"/>
        <v>2210414</v>
      </c>
      <c r="K790" s="11">
        <f t="shared" si="141"/>
        <v>88081</v>
      </c>
      <c r="L790" s="11">
        <f t="shared" si="141"/>
        <v>0</v>
      </c>
      <c r="M790" s="11">
        <f t="shared" si="141"/>
        <v>0</v>
      </c>
      <c r="N790" s="11">
        <f t="shared" si="141"/>
        <v>2122333</v>
      </c>
      <c r="O790" s="11">
        <f t="shared" si="141"/>
        <v>2122333</v>
      </c>
      <c r="P790" s="10">
        <f t="shared" si="140"/>
        <v>23647081</v>
      </c>
    </row>
    <row r="791" spans="1:16" ht="25.5" hidden="1">
      <c r="A791" s="6" t="s">
        <v>265</v>
      </c>
      <c r="B791" s="6"/>
      <c r="C791" s="64"/>
      <c r="D791" s="11" t="s">
        <v>267</v>
      </c>
      <c r="E791" s="10">
        <f>F791+I791</f>
        <v>21436667</v>
      </c>
      <c r="F791" s="11">
        <f>F792+F793+F796+F795</f>
        <v>21436667</v>
      </c>
      <c r="G791" s="11">
        <f>G792+G793+G796+G795</f>
        <v>11965655</v>
      </c>
      <c r="H791" s="11">
        <f>H792+H793+H796+H795</f>
        <v>3285587</v>
      </c>
      <c r="I791" s="11">
        <f>I792+I793+I796+I795</f>
        <v>0</v>
      </c>
      <c r="J791" s="10">
        <f>K791+N791</f>
        <v>2210414</v>
      </c>
      <c r="K791" s="11">
        <f>K792+K793+K796</f>
        <v>88081</v>
      </c>
      <c r="L791" s="11">
        <f>L792+L793+L796</f>
        <v>0</v>
      </c>
      <c r="M791" s="11">
        <f>M792+M793+M796</f>
        <v>0</v>
      </c>
      <c r="N791" s="11">
        <f>N792+N793+N796</f>
        <v>2122333</v>
      </c>
      <c r="O791" s="11">
        <f>O792+O793+O796</f>
        <v>2122333</v>
      </c>
      <c r="P791" s="10">
        <f t="shared" si="140"/>
        <v>23647081</v>
      </c>
    </row>
    <row r="792" spans="1:16" hidden="1">
      <c r="A792" s="6" t="s">
        <v>268</v>
      </c>
      <c r="B792" s="6">
        <v>1010</v>
      </c>
      <c r="C792" s="64" t="s">
        <v>129</v>
      </c>
      <c r="D792" s="9" t="s">
        <v>132</v>
      </c>
      <c r="E792" s="10">
        <v>2091782</v>
      </c>
      <c r="F792" s="11">
        <v>2091782</v>
      </c>
      <c r="G792" s="11">
        <v>1255491</v>
      </c>
      <c r="H792" s="11">
        <v>201977</v>
      </c>
      <c r="I792" s="11">
        <v>0</v>
      </c>
      <c r="J792" s="10">
        <v>937500</v>
      </c>
      <c r="K792" s="11">
        <v>50000</v>
      </c>
      <c r="L792" s="11">
        <v>0</v>
      </c>
      <c r="M792" s="11">
        <v>0</v>
      </c>
      <c r="N792" s="11">
        <v>887500</v>
      </c>
      <c r="O792" s="11">
        <v>887500</v>
      </c>
      <c r="P792" s="10">
        <f t="shared" si="140"/>
        <v>3029282</v>
      </c>
    </row>
    <row r="793" spans="1:16" ht="63.75" hidden="1">
      <c r="A793" s="6" t="s">
        <v>269</v>
      </c>
      <c r="B793" s="6" t="s">
        <v>29</v>
      </c>
      <c r="C793" s="64" t="s">
        <v>28</v>
      </c>
      <c r="D793" s="9" t="s">
        <v>203</v>
      </c>
      <c r="E793" s="10">
        <v>18127815</v>
      </c>
      <c r="F793" s="11">
        <v>18127815</v>
      </c>
      <c r="G793" s="11">
        <v>10155320</v>
      </c>
      <c r="H793" s="11">
        <v>3083610</v>
      </c>
      <c r="I793" s="11">
        <v>0</v>
      </c>
      <c r="J793" s="10">
        <v>1248914</v>
      </c>
      <c r="K793" s="11">
        <v>38081</v>
      </c>
      <c r="L793" s="11">
        <v>0</v>
      </c>
      <c r="M793" s="11">
        <v>0</v>
      </c>
      <c r="N793" s="11">
        <v>1210833</v>
      </c>
      <c r="O793" s="11">
        <v>1210833</v>
      </c>
      <c r="P793" s="10">
        <f t="shared" si="140"/>
        <v>19376729</v>
      </c>
    </row>
    <row r="794" spans="1:16" ht="25.5" hidden="1">
      <c r="A794" s="6"/>
      <c r="B794" s="6"/>
      <c r="C794" s="64"/>
      <c r="D794" s="46" t="s">
        <v>133</v>
      </c>
      <c r="E794" s="42">
        <f>F794+I794</f>
        <v>13801200</v>
      </c>
      <c r="F794" s="14">
        <v>13801200</v>
      </c>
      <c r="G794" s="14">
        <v>11312500</v>
      </c>
      <c r="H794" s="11">
        <v>0</v>
      </c>
      <c r="I794" s="11">
        <v>0</v>
      </c>
      <c r="J794" s="10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0">
        <f t="shared" si="140"/>
        <v>13801200</v>
      </c>
    </row>
    <row r="795" spans="1:16" ht="25.5" hidden="1">
      <c r="A795" s="6" t="s">
        <v>286</v>
      </c>
      <c r="B795" s="6">
        <v>1150</v>
      </c>
      <c r="C795" s="64" t="s">
        <v>31</v>
      </c>
      <c r="D795" s="45" t="s">
        <v>287</v>
      </c>
      <c r="E795" s="41">
        <v>96942</v>
      </c>
      <c r="F795" s="11">
        <v>96942</v>
      </c>
      <c r="G795" s="11">
        <v>84378</v>
      </c>
      <c r="H795" s="11">
        <v>0</v>
      </c>
      <c r="I795" s="11">
        <v>0</v>
      </c>
      <c r="J795" s="10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0">
        <f t="shared" si="140"/>
        <v>96942</v>
      </c>
    </row>
    <row r="796" spans="1:16" hidden="1">
      <c r="A796" s="6" t="s">
        <v>270</v>
      </c>
      <c r="B796" s="6">
        <v>1160</v>
      </c>
      <c r="C796" s="64"/>
      <c r="D796" s="11" t="s">
        <v>136</v>
      </c>
      <c r="E796" s="10">
        <f t="shared" ref="E796:O796" si="142">E797+E798</f>
        <v>1120128</v>
      </c>
      <c r="F796" s="32">
        <f t="shared" si="142"/>
        <v>1120128</v>
      </c>
      <c r="G796" s="32">
        <f t="shared" si="142"/>
        <v>470466</v>
      </c>
      <c r="H796" s="32">
        <f t="shared" si="142"/>
        <v>0</v>
      </c>
      <c r="I796" s="32">
        <f t="shared" si="142"/>
        <v>0</v>
      </c>
      <c r="J796" s="10">
        <f t="shared" si="142"/>
        <v>24000</v>
      </c>
      <c r="K796" s="32">
        <f t="shared" si="142"/>
        <v>0</v>
      </c>
      <c r="L796" s="32">
        <f t="shared" si="142"/>
        <v>0</v>
      </c>
      <c r="M796" s="32">
        <f t="shared" si="142"/>
        <v>0</v>
      </c>
      <c r="N796" s="32">
        <f t="shared" si="142"/>
        <v>24000</v>
      </c>
      <c r="O796" s="32">
        <f t="shared" si="142"/>
        <v>24000</v>
      </c>
      <c r="P796" s="10">
        <f t="shared" si="140"/>
        <v>1144128</v>
      </c>
    </row>
    <row r="797" spans="1:16" ht="25.5" hidden="1">
      <c r="A797" s="12" t="s">
        <v>271</v>
      </c>
      <c r="B797" s="20">
        <v>1161</v>
      </c>
      <c r="C797" s="68" t="s">
        <v>31</v>
      </c>
      <c r="D797" s="21" t="s">
        <v>273</v>
      </c>
      <c r="E797" s="22">
        <v>749870</v>
      </c>
      <c r="F797" s="21">
        <v>749870</v>
      </c>
      <c r="G797" s="21">
        <v>470466</v>
      </c>
      <c r="H797" s="11">
        <v>0</v>
      </c>
      <c r="I797" s="11">
        <v>0</v>
      </c>
      <c r="J797" s="10">
        <v>24000</v>
      </c>
      <c r="K797" s="11">
        <v>0</v>
      </c>
      <c r="L797" s="11">
        <v>0</v>
      </c>
      <c r="M797" s="11">
        <v>0</v>
      </c>
      <c r="N797" s="11">
        <v>24000</v>
      </c>
      <c r="O797" s="11">
        <v>24000</v>
      </c>
      <c r="P797" s="10">
        <f t="shared" si="140"/>
        <v>773870</v>
      </c>
    </row>
    <row r="798" spans="1:16" hidden="1">
      <c r="A798" s="12" t="s">
        <v>272</v>
      </c>
      <c r="B798" s="12" t="s">
        <v>208</v>
      </c>
      <c r="C798" s="13" t="s">
        <v>31</v>
      </c>
      <c r="D798" s="65" t="s">
        <v>136</v>
      </c>
      <c r="E798" s="22">
        <v>370258</v>
      </c>
      <c r="F798" s="21">
        <v>370258</v>
      </c>
      <c r="G798" s="11">
        <v>0</v>
      </c>
      <c r="H798" s="11">
        <v>0</v>
      </c>
      <c r="I798" s="11">
        <v>0</v>
      </c>
      <c r="J798" s="10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0">
        <f t="shared" si="140"/>
        <v>370258</v>
      </c>
    </row>
    <row r="799" spans="1:16" hidden="1">
      <c r="A799" s="16"/>
      <c r="B799" s="17" t="s">
        <v>93</v>
      </c>
      <c r="C799" s="18"/>
      <c r="D799" s="10" t="s">
        <v>10</v>
      </c>
      <c r="E799" s="10">
        <f t="shared" ref="E799:O799" si="143">E737+E790</f>
        <v>74134440</v>
      </c>
      <c r="F799" s="10">
        <f t="shared" si="143"/>
        <v>72434440</v>
      </c>
      <c r="G799" s="10">
        <f t="shared" si="143"/>
        <v>28924234</v>
      </c>
      <c r="H799" s="10">
        <f t="shared" si="143"/>
        <v>6942590</v>
      </c>
      <c r="I799" s="10">
        <f t="shared" si="143"/>
        <v>150000</v>
      </c>
      <c r="J799" s="10">
        <f t="shared" si="143"/>
        <v>31019116</v>
      </c>
      <c r="K799" s="10">
        <f t="shared" si="143"/>
        <v>1288000</v>
      </c>
      <c r="L799" s="10">
        <f t="shared" si="143"/>
        <v>0</v>
      </c>
      <c r="M799" s="10">
        <f t="shared" si="143"/>
        <v>0</v>
      </c>
      <c r="N799" s="10">
        <f t="shared" si="143"/>
        <v>29731116</v>
      </c>
      <c r="O799" s="10">
        <f t="shared" si="143"/>
        <v>28331116</v>
      </c>
      <c r="P799" s="10">
        <f t="shared" si="140"/>
        <v>105153556</v>
      </c>
    </row>
    <row r="800" spans="1:16" hidden="1"/>
    <row r="801" spans="1:16" hidden="1"/>
    <row r="802" spans="1:16" hidden="1">
      <c r="B802" s="2" t="s">
        <v>259</v>
      </c>
      <c r="I802" s="2" t="s">
        <v>178</v>
      </c>
    </row>
    <row r="803" spans="1:16" hidden="1"/>
    <row r="804" spans="1:16" hidden="1"/>
    <row r="805" spans="1:16" hidden="1">
      <c r="A805" t="s">
        <v>193</v>
      </c>
      <c r="M805" s="91" t="s">
        <v>288</v>
      </c>
      <c r="N805" s="91"/>
      <c r="O805" s="91"/>
      <c r="P805" s="91"/>
    </row>
    <row r="806" spans="1:16" hidden="1">
      <c r="M806" s="91"/>
      <c r="N806" s="91"/>
      <c r="O806" s="91"/>
      <c r="P806" s="91"/>
    </row>
    <row r="807" spans="1:16" hidden="1">
      <c r="M807" s="91"/>
      <c r="N807" s="91"/>
      <c r="O807" s="91"/>
      <c r="P807" s="91"/>
    </row>
    <row r="808" spans="1:16" ht="44.25" hidden="1" customHeight="1">
      <c r="M808" s="91"/>
      <c r="N808" s="91"/>
      <c r="O808" s="91"/>
      <c r="P808" s="91"/>
    </row>
    <row r="809" spans="1:16" hidden="1">
      <c r="A809" s="92" t="s">
        <v>2</v>
      </c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</row>
    <row r="810" spans="1:16" hidden="1">
      <c r="A810" s="92" t="s">
        <v>175</v>
      </c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</row>
    <row r="811" spans="1:16" hidden="1">
      <c r="P811" s="1" t="s">
        <v>4</v>
      </c>
    </row>
    <row r="812" spans="1:16" hidden="1">
      <c r="A812" s="94" t="s">
        <v>5</v>
      </c>
      <c r="B812" s="94" t="s">
        <v>6</v>
      </c>
      <c r="C812" s="94" t="s">
        <v>7</v>
      </c>
      <c r="D812" s="95" t="s">
        <v>8</v>
      </c>
      <c r="E812" s="95" t="s">
        <v>9</v>
      </c>
      <c r="F812" s="95"/>
      <c r="G812" s="95"/>
      <c r="H812" s="95"/>
      <c r="I812" s="95"/>
      <c r="J812" s="95" t="s">
        <v>16</v>
      </c>
      <c r="K812" s="95"/>
      <c r="L812" s="95"/>
      <c r="M812" s="95"/>
      <c r="N812" s="95"/>
      <c r="O812" s="95"/>
      <c r="P812" s="96" t="s">
        <v>194</v>
      </c>
    </row>
    <row r="813" spans="1:16" hidden="1">
      <c r="A813" s="95"/>
      <c r="B813" s="95"/>
      <c r="C813" s="95"/>
      <c r="D813" s="95"/>
      <c r="E813" s="96" t="s">
        <v>10</v>
      </c>
      <c r="F813" s="95" t="s">
        <v>11</v>
      </c>
      <c r="G813" s="95" t="s">
        <v>12</v>
      </c>
      <c r="H813" s="95"/>
      <c r="I813" s="95" t="s">
        <v>15</v>
      </c>
      <c r="J813" s="96" t="s">
        <v>10</v>
      </c>
      <c r="K813" s="95" t="s">
        <v>11</v>
      </c>
      <c r="L813" s="95" t="s">
        <v>12</v>
      </c>
      <c r="M813" s="95"/>
      <c r="N813" s="95" t="s">
        <v>15</v>
      </c>
      <c r="O813" s="73" t="s">
        <v>12</v>
      </c>
      <c r="P813" s="95"/>
    </row>
    <row r="814" spans="1:16" hidden="1">
      <c r="A814" s="95"/>
      <c r="B814" s="95"/>
      <c r="C814" s="95"/>
      <c r="D814" s="95"/>
      <c r="E814" s="95"/>
      <c r="F814" s="95"/>
      <c r="G814" s="95" t="s">
        <v>13</v>
      </c>
      <c r="H814" s="95" t="s">
        <v>14</v>
      </c>
      <c r="I814" s="95"/>
      <c r="J814" s="95"/>
      <c r="K814" s="95"/>
      <c r="L814" s="95" t="s">
        <v>13</v>
      </c>
      <c r="M814" s="95" t="s">
        <v>14</v>
      </c>
      <c r="N814" s="95"/>
      <c r="O814" s="95" t="s">
        <v>17</v>
      </c>
      <c r="P814" s="95"/>
    </row>
    <row r="815" spans="1:16" hidden="1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</row>
    <row r="816" spans="1:16" hidden="1">
      <c r="A816" s="73">
        <v>1</v>
      </c>
      <c r="B816" s="73">
        <v>2</v>
      </c>
      <c r="C816" s="73">
        <v>3</v>
      </c>
      <c r="D816" s="73">
        <v>4</v>
      </c>
      <c r="E816" s="74">
        <v>5</v>
      </c>
      <c r="F816" s="73">
        <v>6</v>
      </c>
      <c r="G816" s="73">
        <v>7</v>
      </c>
      <c r="H816" s="73">
        <v>8</v>
      </c>
      <c r="I816" s="73">
        <v>9</v>
      </c>
      <c r="J816" s="74">
        <v>10</v>
      </c>
      <c r="K816" s="73">
        <v>11</v>
      </c>
      <c r="L816" s="73">
        <v>12</v>
      </c>
      <c r="M816" s="73">
        <v>13</v>
      </c>
      <c r="N816" s="73">
        <v>14</v>
      </c>
      <c r="O816" s="73">
        <v>15</v>
      </c>
      <c r="P816" s="74">
        <v>16</v>
      </c>
    </row>
    <row r="817" spans="1:16" hidden="1">
      <c r="A817" s="6" t="s">
        <v>124</v>
      </c>
      <c r="B817" s="7"/>
      <c r="C817" s="8"/>
      <c r="D817" s="45" t="s">
        <v>182</v>
      </c>
      <c r="E817" s="10">
        <f>E819+E821+E823+E824+E827+E829+E833+E835+E836+E837+E838+E843+E846+E848+E850+E851+E853+E855+E856+E860+E862+E863+E864+E866+E868+E869+E820+E831+E867</f>
        <v>55194175</v>
      </c>
      <c r="F817" s="10">
        <f t="shared" ref="F817:I817" si="144">F819+F821+F823+F824+F827+F829+F833+F835+F836+F837+F838+F843+F846+F848+F850+F851+F853+F855+F856+F860+F862+F863+F864+F866+F868+F869+F820</f>
        <v>52407607</v>
      </c>
      <c r="G817" s="10">
        <f t="shared" si="144"/>
        <v>17116614</v>
      </c>
      <c r="H817" s="10">
        <f t="shared" si="144"/>
        <v>3674503</v>
      </c>
      <c r="I817" s="10">
        <f t="shared" si="144"/>
        <v>150000</v>
      </c>
      <c r="J817" s="10">
        <f>J819+J821+J823+J824+J827+J829+J833+J835+J836+J837+J838+J843+J846+J848+J850+J851+J853+J855+J856+J860+J862+J863+J864+J866+J868+J869+J820+J831</f>
        <v>34078493</v>
      </c>
      <c r="K817" s="10">
        <f t="shared" ref="K817:M817" si="145">K819+K821+K823+K824+K827+K829+K833+K835+K836+K837+K838+K843+K846+K848+K850+K851+K853+K855+K856+K860+K862+K863+K864+K866+K868+K869+K820</f>
        <v>1199919</v>
      </c>
      <c r="L817" s="10">
        <f t="shared" si="145"/>
        <v>0</v>
      </c>
      <c r="M817" s="10">
        <f t="shared" si="145"/>
        <v>0</v>
      </c>
      <c r="N817" s="10">
        <f>N819+N821+N823+N824+N827+N829+N833+N835+N836+N837+N838+N843+N846+N848+N850+N851+N853+N855+N856+N860+N862+N863+N864+N866+N868+N869+N820+N830</f>
        <v>32878574</v>
      </c>
      <c r="O817" s="10">
        <f>O819+O821+O823+O824+O827+O829+O833+O835+O836+O837+O838+O843+O846+O848+O850+O851+O853+O855+O856+O860+O862+O863+O864+O866+O868+O869+O820+O830</f>
        <v>31478574</v>
      </c>
      <c r="P817" s="10">
        <f>P819+P821+P823+P824+P827+P829+P833+P835+P836+P837+P838+P843+P846+P848+P850+P851+P853+P855+P856+P860+P862+P863+P864+P866+P868+P869+P820+P831+P867</f>
        <v>89272668</v>
      </c>
    </row>
    <row r="818" spans="1:16" hidden="1">
      <c r="A818" s="6" t="s">
        <v>125</v>
      </c>
      <c r="B818" s="7"/>
      <c r="C818" s="8"/>
      <c r="D818" s="45" t="s">
        <v>182</v>
      </c>
      <c r="E818" s="10">
        <f t="shared" ref="E818:P818" si="146">E817</f>
        <v>55194175</v>
      </c>
      <c r="F818" s="10">
        <f t="shared" si="146"/>
        <v>52407607</v>
      </c>
      <c r="G818" s="10">
        <f t="shared" si="146"/>
        <v>17116614</v>
      </c>
      <c r="H818" s="10">
        <f t="shared" si="146"/>
        <v>3674503</v>
      </c>
      <c r="I818" s="10">
        <f t="shared" si="146"/>
        <v>150000</v>
      </c>
      <c r="J818" s="10">
        <f t="shared" si="146"/>
        <v>34078493</v>
      </c>
      <c r="K818" s="10">
        <f t="shared" si="146"/>
        <v>1199919</v>
      </c>
      <c r="L818" s="10">
        <f t="shared" si="146"/>
        <v>0</v>
      </c>
      <c r="M818" s="10">
        <f t="shared" si="146"/>
        <v>0</v>
      </c>
      <c r="N818" s="10">
        <f t="shared" si="146"/>
        <v>32878574</v>
      </c>
      <c r="O818" s="10">
        <f t="shared" si="146"/>
        <v>31478574</v>
      </c>
      <c r="P818" s="10">
        <f t="shared" si="146"/>
        <v>89272668</v>
      </c>
    </row>
    <row r="819" spans="1:16" ht="63.75" hidden="1">
      <c r="A819" s="6" t="s">
        <v>126</v>
      </c>
      <c r="B819" s="6" t="s">
        <v>127</v>
      </c>
      <c r="C819" s="64" t="s">
        <v>23</v>
      </c>
      <c r="D819" s="9" t="s">
        <v>181</v>
      </c>
      <c r="E819" s="10">
        <v>12930937</v>
      </c>
      <c r="F819" s="11">
        <v>12930937</v>
      </c>
      <c r="G819" s="11">
        <v>7592100</v>
      </c>
      <c r="H819" s="11">
        <v>856886</v>
      </c>
      <c r="I819" s="11">
        <v>0</v>
      </c>
      <c r="J819" s="10">
        <v>323196</v>
      </c>
      <c r="K819" s="11">
        <v>35000</v>
      </c>
      <c r="L819" s="11">
        <v>0</v>
      </c>
      <c r="M819" s="11">
        <v>0</v>
      </c>
      <c r="N819" s="11">
        <v>288196</v>
      </c>
      <c r="O819" s="11">
        <v>288196</v>
      </c>
      <c r="P819" s="10">
        <f t="shared" ref="P819:P879" si="147">E819+J819</f>
        <v>13254133</v>
      </c>
    </row>
    <row r="820" spans="1:16" ht="38.25" hidden="1">
      <c r="A820" s="6" t="s">
        <v>262</v>
      </c>
      <c r="B820" s="6" t="s">
        <v>200</v>
      </c>
      <c r="C820" s="64" t="s">
        <v>23</v>
      </c>
      <c r="D820" s="11" t="s">
        <v>263</v>
      </c>
      <c r="E820" s="10">
        <v>364456</v>
      </c>
      <c r="F820" s="11">
        <v>364456</v>
      </c>
      <c r="G820" s="11">
        <v>298405</v>
      </c>
      <c r="H820" s="11">
        <v>0</v>
      </c>
      <c r="I820" s="11">
        <v>0</v>
      </c>
      <c r="J820" s="10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0">
        <f t="shared" si="147"/>
        <v>364456</v>
      </c>
    </row>
    <row r="821" spans="1:16" ht="38.25" hidden="1">
      <c r="A821" s="6" t="s">
        <v>195</v>
      </c>
      <c r="B821" s="6" t="s">
        <v>196</v>
      </c>
      <c r="C821" s="8"/>
      <c r="D821" s="9" t="s">
        <v>197</v>
      </c>
      <c r="E821" s="10">
        <v>95000</v>
      </c>
      <c r="F821" s="11">
        <v>95000</v>
      </c>
      <c r="G821" s="11">
        <v>62680</v>
      </c>
      <c r="H821" s="11">
        <v>0</v>
      </c>
      <c r="I821" s="11">
        <v>0</v>
      </c>
      <c r="J821" s="10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0">
        <f t="shared" si="147"/>
        <v>95000</v>
      </c>
    </row>
    <row r="822" spans="1:16" hidden="1">
      <c r="A822" s="12" t="s">
        <v>198</v>
      </c>
      <c r="B822" s="12" t="s">
        <v>199</v>
      </c>
      <c r="C822" s="13" t="s">
        <v>200</v>
      </c>
      <c r="D822" s="65" t="s">
        <v>201</v>
      </c>
      <c r="E822" s="15">
        <v>95000</v>
      </c>
      <c r="F822" s="14">
        <v>95000</v>
      </c>
      <c r="G822" s="14">
        <v>62680</v>
      </c>
      <c r="H822" s="14">
        <v>0</v>
      </c>
      <c r="I822" s="14">
        <v>0</v>
      </c>
      <c r="J822" s="15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5">
        <f t="shared" si="147"/>
        <v>95000</v>
      </c>
    </row>
    <row r="823" spans="1:16" hidden="1">
      <c r="A823" s="6" t="s">
        <v>128</v>
      </c>
      <c r="B823" s="6" t="s">
        <v>202</v>
      </c>
      <c r="C823" s="64" t="s">
        <v>129</v>
      </c>
      <c r="D823" s="9" t="s">
        <v>132</v>
      </c>
      <c r="E823" s="10">
        <v>910870</v>
      </c>
      <c r="F823" s="11">
        <v>910870</v>
      </c>
      <c r="G823" s="11">
        <v>416434</v>
      </c>
      <c r="H823" s="11">
        <v>146169</v>
      </c>
      <c r="I823" s="11">
        <v>0</v>
      </c>
      <c r="J823" s="10">
        <v>73490</v>
      </c>
      <c r="K823" s="11">
        <v>0</v>
      </c>
      <c r="L823" s="11">
        <v>0</v>
      </c>
      <c r="M823" s="11">
        <v>0</v>
      </c>
      <c r="N823" s="11">
        <v>73490</v>
      </c>
      <c r="O823" s="11">
        <v>73490</v>
      </c>
      <c r="P823" s="10">
        <f t="shared" si="147"/>
        <v>984360</v>
      </c>
    </row>
    <row r="824" spans="1:16" ht="63.75" hidden="1">
      <c r="A824" s="6" t="s">
        <v>130</v>
      </c>
      <c r="B824" s="6" t="s">
        <v>29</v>
      </c>
      <c r="C824" s="64" t="s">
        <v>28</v>
      </c>
      <c r="D824" s="9" t="s">
        <v>203</v>
      </c>
      <c r="E824" s="10">
        <v>5285172</v>
      </c>
      <c r="F824" s="11">
        <v>5285172</v>
      </c>
      <c r="G824" s="11">
        <v>3641362</v>
      </c>
      <c r="H824" s="11">
        <v>487398</v>
      </c>
      <c r="I824" s="11">
        <v>0</v>
      </c>
      <c r="J824" s="10">
        <v>41919</v>
      </c>
      <c r="K824" s="11">
        <v>41919</v>
      </c>
      <c r="L824" s="11">
        <v>0</v>
      </c>
      <c r="M824" s="11">
        <v>0</v>
      </c>
      <c r="N824" s="11">
        <v>0</v>
      </c>
      <c r="O824" s="11">
        <v>0</v>
      </c>
      <c r="P824" s="10">
        <f t="shared" si="147"/>
        <v>5327091</v>
      </c>
    </row>
    <row r="825" spans="1:16" ht="25.5" hidden="1">
      <c r="A825" s="6"/>
      <c r="B825" s="6"/>
      <c r="C825" s="64"/>
      <c r="D825" s="46" t="s">
        <v>133</v>
      </c>
      <c r="E825" s="42">
        <f>F825+I825</f>
        <v>13801200</v>
      </c>
      <c r="F825" s="14">
        <v>13801200</v>
      </c>
      <c r="G825" s="14">
        <v>11312500</v>
      </c>
      <c r="H825" s="11"/>
      <c r="I825" s="11"/>
      <c r="J825" s="10"/>
      <c r="K825" s="11"/>
      <c r="L825" s="11"/>
      <c r="M825" s="11"/>
      <c r="N825" s="11"/>
      <c r="O825" s="11"/>
      <c r="P825" s="10">
        <f t="shared" si="147"/>
        <v>13801200</v>
      </c>
    </row>
    <row r="826" spans="1:16" hidden="1">
      <c r="A826" s="6" t="s">
        <v>130</v>
      </c>
      <c r="B826" s="6">
        <v>1020</v>
      </c>
      <c r="C826" s="39" t="s">
        <v>28</v>
      </c>
      <c r="D826" s="45" t="s">
        <v>134</v>
      </c>
      <c r="E826" s="42">
        <f>F826+I826</f>
        <v>1437832</v>
      </c>
      <c r="F826" s="14">
        <v>1437832</v>
      </c>
      <c r="G826" s="14">
        <v>838321</v>
      </c>
      <c r="H826" s="14">
        <v>250242</v>
      </c>
      <c r="I826" s="11">
        <v>0</v>
      </c>
      <c r="J826" s="10"/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0">
        <f t="shared" si="147"/>
        <v>1437832</v>
      </c>
    </row>
    <row r="827" spans="1:16" ht="51" hidden="1">
      <c r="A827" s="6" t="s">
        <v>143</v>
      </c>
      <c r="B827" s="6" t="s">
        <v>204</v>
      </c>
      <c r="C827" s="64" t="s">
        <v>184</v>
      </c>
      <c r="D827" s="9" t="s">
        <v>145</v>
      </c>
      <c r="E827" s="10">
        <v>887020</v>
      </c>
      <c r="F827" s="11">
        <v>887020</v>
      </c>
      <c r="G827" s="11">
        <v>607435</v>
      </c>
      <c r="H827" s="11">
        <v>42325</v>
      </c>
      <c r="I827" s="11">
        <v>0</v>
      </c>
      <c r="J827" s="10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0">
        <f t="shared" si="147"/>
        <v>887020</v>
      </c>
    </row>
    <row r="828" spans="1:16" hidden="1">
      <c r="A828" s="6" t="s">
        <v>205</v>
      </c>
      <c r="B828" s="6" t="s">
        <v>206</v>
      </c>
      <c r="C828" s="8"/>
      <c r="D828" s="9" t="s">
        <v>207</v>
      </c>
      <c r="E828" s="10">
        <v>179742</v>
      </c>
      <c r="F828" s="11">
        <v>179742</v>
      </c>
      <c r="G828" s="11">
        <v>0</v>
      </c>
      <c r="H828" s="11">
        <v>0</v>
      </c>
      <c r="I828" s="11">
        <v>0</v>
      </c>
      <c r="J828" s="10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0">
        <f t="shared" si="147"/>
        <v>179742</v>
      </c>
    </row>
    <row r="829" spans="1:16" hidden="1">
      <c r="A829" s="12" t="s">
        <v>135</v>
      </c>
      <c r="B829" s="12" t="s">
        <v>208</v>
      </c>
      <c r="C829" s="13" t="s">
        <v>31</v>
      </c>
      <c r="D829" s="65" t="s">
        <v>136</v>
      </c>
      <c r="E829" s="15">
        <v>179742</v>
      </c>
      <c r="F829" s="14">
        <v>179742</v>
      </c>
      <c r="G829" s="14">
        <v>0</v>
      </c>
      <c r="H829" s="14">
        <v>0</v>
      </c>
      <c r="I829" s="14">
        <v>0</v>
      </c>
      <c r="J829" s="15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5">
        <f t="shared" si="147"/>
        <v>179742</v>
      </c>
    </row>
    <row r="830" spans="1:16" ht="25.5" hidden="1">
      <c r="A830" s="6" t="s">
        <v>278</v>
      </c>
      <c r="B830" s="6">
        <v>2150</v>
      </c>
      <c r="C830" s="13"/>
      <c r="D830" s="11" t="s">
        <v>279</v>
      </c>
      <c r="E830" s="10">
        <v>1636568</v>
      </c>
      <c r="F830" s="11">
        <v>1636568</v>
      </c>
      <c r="G830" s="11">
        <v>0</v>
      </c>
      <c r="H830" s="11">
        <v>0</v>
      </c>
      <c r="I830" s="11">
        <v>0</v>
      </c>
      <c r="J830" s="10">
        <v>59000</v>
      </c>
      <c r="K830" s="11">
        <v>0</v>
      </c>
      <c r="L830" s="11">
        <v>0</v>
      </c>
      <c r="M830" s="11">
        <v>0</v>
      </c>
      <c r="N830" s="11">
        <v>59000</v>
      </c>
      <c r="O830" s="11">
        <v>59000</v>
      </c>
      <c r="P830" s="10">
        <f t="shared" si="147"/>
        <v>1695568</v>
      </c>
    </row>
    <row r="831" spans="1:16" ht="25.5" hidden="1">
      <c r="A831" s="12" t="s">
        <v>280</v>
      </c>
      <c r="B831" s="12">
        <v>2151</v>
      </c>
      <c r="C831" s="13" t="s">
        <v>281</v>
      </c>
      <c r="D831" s="14" t="s">
        <v>282</v>
      </c>
      <c r="E831" s="15">
        <v>1636568</v>
      </c>
      <c r="F831" s="14">
        <v>1636568</v>
      </c>
      <c r="G831" s="14">
        <v>0</v>
      </c>
      <c r="H831" s="14">
        <v>0</v>
      </c>
      <c r="I831" s="14">
        <v>0</v>
      </c>
      <c r="J831" s="15">
        <v>59000</v>
      </c>
      <c r="K831" s="14">
        <v>0</v>
      </c>
      <c r="L831" s="14">
        <v>0</v>
      </c>
      <c r="M831" s="14">
        <v>0</v>
      </c>
      <c r="N831" s="14">
        <v>59000</v>
      </c>
      <c r="O831" s="14">
        <v>59000</v>
      </c>
      <c r="P831" s="15">
        <f t="shared" si="147"/>
        <v>1695568</v>
      </c>
    </row>
    <row r="832" spans="1:16" hidden="1">
      <c r="A832" s="12"/>
      <c r="B832" s="12"/>
      <c r="C832" s="13"/>
      <c r="D832" s="11" t="s">
        <v>283</v>
      </c>
      <c r="E832" s="15">
        <v>1636568</v>
      </c>
      <c r="F832" s="14">
        <v>1636568</v>
      </c>
      <c r="G832" s="14">
        <v>0</v>
      </c>
      <c r="H832" s="14">
        <v>0</v>
      </c>
      <c r="I832" s="14">
        <v>0</v>
      </c>
      <c r="J832" s="15">
        <v>59000</v>
      </c>
      <c r="K832" s="14">
        <v>0</v>
      </c>
      <c r="L832" s="14">
        <v>0</v>
      </c>
      <c r="M832" s="14">
        <v>0</v>
      </c>
      <c r="N832" s="14">
        <v>59000</v>
      </c>
      <c r="O832" s="14">
        <v>59000</v>
      </c>
      <c r="P832" s="15">
        <f t="shared" si="147"/>
        <v>1695568</v>
      </c>
    </row>
    <row r="833" spans="1:16" hidden="1">
      <c r="A833" s="6" t="s">
        <v>185</v>
      </c>
      <c r="B833" s="6" t="s">
        <v>209</v>
      </c>
      <c r="C833" s="64" t="s">
        <v>105</v>
      </c>
      <c r="D833" s="9" t="s">
        <v>106</v>
      </c>
      <c r="E833" s="10">
        <v>50000</v>
      </c>
      <c r="F833" s="11">
        <v>50000</v>
      </c>
      <c r="G833" s="11">
        <v>40984</v>
      </c>
      <c r="H833" s="11">
        <v>0</v>
      </c>
      <c r="I833" s="11">
        <v>0</v>
      </c>
      <c r="J833" s="10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0">
        <f t="shared" si="147"/>
        <v>50000</v>
      </c>
    </row>
    <row r="834" spans="1:16" hidden="1">
      <c r="A834" s="6" t="s">
        <v>210</v>
      </c>
      <c r="B834" s="6" t="s">
        <v>211</v>
      </c>
      <c r="C834" s="8"/>
      <c r="D834" s="9" t="s">
        <v>212</v>
      </c>
      <c r="E834" s="10">
        <v>1516000</v>
      </c>
      <c r="F834" s="11">
        <v>1516000</v>
      </c>
      <c r="G834" s="11">
        <v>0</v>
      </c>
      <c r="H834" s="11">
        <v>0</v>
      </c>
      <c r="I834" s="11">
        <v>0</v>
      </c>
      <c r="J834" s="10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0">
        <f t="shared" si="147"/>
        <v>1516000</v>
      </c>
    </row>
    <row r="835" spans="1:16" ht="25.5" hidden="1">
      <c r="A835" s="12" t="s">
        <v>139</v>
      </c>
      <c r="B835" s="12" t="s">
        <v>213</v>
      </c>
      <c r="C835" s="13" t="s">
        <v>36</v>
      </c>
      <c r="D835" s="65" t="s">
        <v>137</v>
      </c>
      <c r="E835" s="15">
        <v>1516000</v>
      </c>
      <c r="F835" s="14">
        <v>1516000</v>
      </c>
      <c r="G835" s="14">
        <v>0</v>
      </c>
      <c r="H835" s="14">
        <v>0</v>
      </c>
      <c r="I835" s="14">
        <v>0</v>
      </c>
      <c r="J835" s="15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5">
        <f t="shared" si="147"/>
        <v>1516000</v>
      </c>
    </row>
    <row r="836" spans="1:16" hidden="1">
      <c r="A836" s="6" t="s">
        <v>140</v>
      </c>
      <c r="B836" s="6" t="s">
        <v>214</v>
      </c>
      <c r="C836" s="64" t="s">
        <v>41</v>
      </c>
      <c r="D836" s="9" t="s">
        <v>138</v>
      </c>
      <c r="E836" s="10">
        <v>156638</v>
      </c>
      <c r="F836" s="11">
        <v>156638</v>
      </c>
      <c r="G836" s="11">
        <v>129942</v>
      </c>
      <c r="H836" s="11">
        <v>0</v>
      </c>
      <c r="I836" s="11">
        <v>0</v>
      </c>
      <c r="J836" s="10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0">
        <f t="shared" si="147"/>
        <v>156638</v>
      </c>
    </row>
    <row r="837" spans="1:16" ht="38.25" hidden="1">
      <c r="A837" s="6" t="s">
        <v>141</v>
      </c>
      <c r="B837" s="6" t="s">
        <v>42</v>
      </c>
      <c r="C837" s="64" t="s">
        <v>44</v>
      </c>
      <c r="D837" s="9" t="s">
        <v>142</v>
      </c>
      <c r="E837" s="10">
        <v>2356464</v>
      </c>
      <c r="F837" s="11">
        <v>2356464</v>
      </c>
      <c r="G837" s="11">
        <v>1153122</v>
      </c>
      <c r="H837" s="11">
        <v>332739</v>
      </c>
      <c r="I837" s="11">
        <v>0</v>
      </c>
      <c r="J837" s="10">
        <v>21984</v>
      </c>
      <c r="K837" s="11">
        <v>5000</v>
      </c>
      <c r="L837" s="11">
        <v>0</v>
      </c>
      <c r="M837" s="11">
        <v>0</v>
      </c>
      <c r="N837" s="11">
        <v>16984</v>
      </c>
      <c r="O837" s="11">
        <v>16984</v>
      </c>
      <c r="P837" s="10">
        <f t="shared" si="147"/>
        <v>2378448</v>
      </c>
    </row>
    <row r="838" spans="1:16" ht="25.5" hidden="1">
      <c r="A838" s="6" t="s">
        <v>215</v>
      </c>
      <c r="B838" s="6" t="s">
        <v>216</v>
      </c>
      <c r="C838" s="8"/>
      <c r="D838" s="9" t="s">
        <v>217</v>
      </c>
      <c r="E838" s="10">
        <v>5264987</v>
      </c>
      <c r="F838" s="11">
        <v>5264987</v>
      </c>
      <c r="G838" s="11">
        <v>3174150</v>
      </c>
      <c r="H838" s="11">
        <v>525456</v>
      </c>
      <c r="I838" s="11">
        <v>0</v>
      </c>
      <c r="J838" s="10">
        <v>1039589</v>
      </c>
      <c r="K838" s="11">
        <v>0</v>
      </c>
      <c r="L838" s="11">
        <v>0</v>
      </c>
      <c r="M838" s="11">
        <v>0</v>
      </c>
      <c r="N838" s="11">
        <v>1039589</v>
      </c>
      <c r="O838" s="11">
        <v>1039589</v>
      </c>
      <c r="P838" s="10">
        <f t="shared" si="147"/>
        <v>6304576</v>
      </c>
    </row>
    <row r="839" spans="1:16" ht="25.5" hidden="1">
      <c r="A839" s="6">
        <v>114081</v>
      </c>
      <c r="B839" s="6">
        <v>4081</v>
      </c>
      <c r="C839" s="13" t="s">
        <v>144</v>
      </c>
      <c r="D839" s="14" t="s">
        <v>275</v>
      </c>
      <c r="E839" s="22">
        <v>5264987</v>
      </c>
      <c r="F839" s="21">
        <v>5264987</v>
      </c>
      <c r="G839" s="21">
        <v>3174150</v>
      </c>
      <c r="H839" s="21">
        <v>525456</v>
      </c>
      <c r="I839" s="21">
        <v>0</v>
      </c>
      <c r="J839" s="22">
        <v>1039589</v>
      </c>
      <c r="K839" s="21">
        <v>0</v>
      </c>
      <c r="L839" s="21">
        <v>0</v>
      </c>
      <c r="M839" s="21">
        <v>0</v>
      </c>
      <c r="N839" s="21">
        <f>1789589-200000-550000</f>
        <v>1039589</v>
      </c>
      <c r="O839" s="21">
        <f>1789589-200000-550000</f>
        <v>1039589</v>
      </c>
      <c r="P839" s="10">
        <f t="shared" si="147"/>
        <v>6304576</v>
      </c>
    </row>
    <row r="840" spans="1:16" hidden="1">
      <c r="A840" s="6"/>
      <c r="B840" s="6"/>
      <c r="C840" s="13"/>
      <c r="D840" s="45" t="s">
        <v>276</v>
      </c>
      <c r="E840" s="22">
        <v>5264987</v>
      </c>
      <c r="F840" s="21">
        <v>5264987</v>
      </c>
      <c r="G840" s="21">
        <v>3174150</v>
      </c>
      <c r="H840" s="21">
        <v>525456</v>
      </c>
      <c r="I840" s="21">
        <v>0</v>
      </c>
      <c r="J840" s="22">
        <v>1039589</v>
      </c>
      <c r="K840" s="21">
        <v>0</v>
      </c>
      <c r="L840" s="21">
        <v>0</v>
      </c>
      <c r="M840" s="21">
        <v>0</v>
      </c>
      <c r="N840" s="21">
        <f>1789589-200000-550000</f>
        <v>1039589</v>
      </c>
      <c r="O840" s="21">
        <f>1789589-200000-550000</f>
        <v>1039589</v>
      </c>
      <c r="P840" s="22">
        <f t="shared" si="147"/>
        <v>6304576</v>
      </c>
    </row>
    <row r="841" spans="1:16" hidden="1">
      <c r="A841" s="12" t="s">
        <v>180</v>
      </c>
      <c r="B841" s="12" t="s">
        <v>218</v>
      </c>
      <c r="C841" s="13" t="s">
        <v>144</v>
      </c>
      <c r="D841" s="65" t="s">
        <v>179</v>
      </c>
      <c r="E841" s="15">
        <v>0</v>
      </c>
      <c r="F841" s="14">
        <v>0</v>
      </c>
      <c r="G841" s="14">
        <v>0</v>
      </c>
      <c r="H841" s="14">
        <v>0</v>
      </c>
      <c r="I841" s="14">
        <v>0</v>
      </c>
      <c r="J841" s="15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5">
        <f t="shared" si="147"/>
        <v>0</v>
      </c>
    </row>
    <row r="842" spans="1:16" ht="25.5" hidden="1">
      <c r="A842" s="6" t="s">
        <v>219</v>
      </c>
      <c r="B842" s="6" t="s">
        <v>220</v>
      </c>
      <c r="C842" s="8"/>
      <c r="D842" s="9" t="s">
        <v>221</v>
      </c>
      <c r="E842" s="10">
        <v>2781446</v>
      </c>
      <c r="F842" s="11">
        <v>2781446</v>
      </c>
      <c r="G842" s="11">
        <v>0</v>
      </c>
      <c r="H842" s="11">
        <v>0</v>
      </c>
      <c r="I842" s="11">
        <v>0</v>
      </c>
      <c r="J842" s="10">
        <v>585804</v>
      </c>
      <c r="K842" s="11">
        <v>0</v>
      </c>
      <c r="L842" s="11">
        <v>0</v>
      </c>
      <c r="M842" s="11">
        <v>0</v>
      </c>
      <c r="N842" s="11">
        <v>585804</v>
      </c>
      <c r="O842" s="11">
        <v>585804</v>
      </c>
      <c r="P842" s="10">
        <f t="shared" si="147"/>
        <v>3367250</v>
      </c>
    </row>
    <row r="843" spans="1:16" ht="38.25" hidden="1">
      <c r="A843" s="12" t="s">
        <v>146</v>
      </c>
      <c r="B843" s="12" t="s">
        <v>222</v>
      </c>
      <c r="C843" s="13" t="s">
        <v>49</v>
      </c>
      <c r="D843" s="65" t="s">
        <v>51</v>
      </c>
      <c r="E843" s="15">
        <v>2781446</v>
      </c>
      <c r="F843" s="14">
        <v>2781446</v>
      </c>
      <c r="G843" s="14">
        <v>0</v>
      </c>
      <c r="H843" s="14">
        <v>0</v>
      </c>
      <c r="I843" s="14">
        <v>0</v>
      </c>
      <c r="J843" s="15">
        <v>585804</v>
      </c>
      <c r="K843" s="14">
        <v>0</v>
      </c>
      <c r="L843" s="14">
        <v>0</v>
      </c>
      <c r="M843" s="14">
        <v>0</v>
      </c>
      <c r="N843" s="14">
        <v>585804</v>
      </c>
      <c r="O843" s="14">
        <v>585804</v>
      </c>
      <c r="P843" s="15">
        <f t="shared" si="147"/>
        <v>3367250</v>
      </c>
    </row>
    <row r="844" spans="1:16" hidden="1">
      <c r="A844" s="12"/>
      <c r="B844" s="12"/>
      <c r="C844" s="13"/>
      <c r="D844" s="45" t="s">
        <v>107</v>
      </c>
      <c r="E844" s="42">
        <f>F844+I844</f>
        <v>2781446</v>
      </c>
      <c r="F844" s="14">
        <v>2781446</v>
      </c>
      <c r="G844" s="14"/>
      <c r="H844" s="14"/>
      <c r="I844" s="14"/>
      <c r="J844" s="15">
        <v>585804</v>
      </c>
      <c r="K844" s="14"/>
      <c r="L844" s="14"/>
      <c r="M844" s="14"/>
      <c r="N844" s="14">
        <v>585804</v>
      </c>
      <c r="O844" s="14">
        <v>585804</v>
      </c>
      <c r="P844" s="15">
        <f t="shared" si="147"/>
        <v>3367250</v>
      </c>
    </row>
    <row r="845" spans="1:16" ht="25.5" hidden="1">
      <c r="A845" s="6" t="s">
        <v>223</v>
      </c>
      <c r="B845" s="6" t="s">
        <v>224</v>
      </c>
      <c r="C845" s="8"/>
      <c r="D845" s="9" t="s">
        <v>225</v>
      </c>
      <c r="E845" s="10">
        <v>385173</v>
      </c>
      <c r="F845" s="11">
        <v>325173</v>
      </c>
      <c r="G845" s="11">
        <v>0</v>
      </c>
      <c r="H845" s="11">
        <v>0</v>
      </c>
      <c r="I845" s="11">
        <v>0</v>
      </c>
      <c r="J845" s="10">
        <v>4630400</v>
      </c>
      <c r="K845" s="11">
        <v>0</v>
      </c>
      <c r="L845" s="11">
        <v>0</v>
      </c>
      <c r="M845" s="11">
        <v>0</v>
      </c>
      <c r="N845" s="11">
        <v>4630400</v>
      </c>
      <c r="O845" s="11">
        <v>4630400</v>
      </c>
      <c r="P845" s="10">
        <f t="shared" si="147"/>
        <v>5015573</v>
      </c>
    </row>
    <row r="846" spans="1:16" ht="25.5" hidden="1">
      <c r="A846" s="12" t="s">
        <v>149</v>
      </c>
      <c r="B846" s="12" t="s">
        <v>226</v>
      </c>
      <c r="C846" s="13" t="s">
        <v>54</v>
      </c>
      <c r="D846" s="65" t="s">
        <v>150</v>
      </c>
      <c r="E846" s="15">
        <v>385173</v>
      </c>
      <c r="F846" s="14">
        <v>385173</v>
      </c>
      <c r="G846" s="14">
        <v>0</v>
      </c>
      <c r="H846" s="14">
        <v>0</v>
      </c>
      <c r="I846" s="14">
        <v>0</v>
      </c>
      <c r="J846" s="15">
        <v>4630400</v>
      </c>
      <c r="K846" s="14">
        <v>0</v>
      </c>
      <c r="L846" s="14">
        <v>0</v>
      </c>
      <c r="M846" s="14">
        <v>0</v>
      </c>
      <c r="N846" s="14">
        <v>4630400</v>
      </c>
      <c r="O846" s="14">
        <v>4630400</v>
      </c>
      <c r="P846" s="15">
        <f t="shared" si="147"/>
        <v>5015573</v>
      </c>
    </row>
    <row r="847" spans="1:16" hidden="1">
      <c r="A847" s="12"/>
      <c r="B847" s="12"/>
      <c r="C847" s="13"/>
      <c r="D847" s="45" t="s">
        <v>109</v>
      </c>
      <c r="E847" s="15">
        <v>385173</v>
      </c>
      <c r="F847" s="14">
        <v>385173</v>
      </c>
      <c r="G847" s="14">
        <v>0</v>
      </c>
      <c r="H847" s="14">
        <v>0</v>
      </c>
      <c r="I847" s="14">
        <v>0</v>
      </c>
      <c r="J847" s="15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5">
        <f t="shared" si="147"/>
        <v>385173</v>
      </c>
    </row>
    <row r="848" spans="1:16" ht="51" hidden="1">
      <c r="A848" s="6" t="s">
        <v>147</v>
      </c>
      <c r="B848" s="6" t="s">
        <v>227</v>
      </c>
      <c r="C848" s="64" t="s">
        <v>54</v>
      </c>
      <c r="D848" s="9" t="s">
        <v>148</v>
      </c>
      <c r="E848" s="10">
        <v>1996000</v>
      </c>
      <c r="F848" s="11">
        <v>1996000</v>
      </c>
      <c r="G848" s="11">
        <v>0</v>
      </c>
      <c r="H848" s="11">
        <v>0</v>
      </c>
      <c r="I848" s="11">
        <v>0</v>
      </c>
      <c r="J848" s="10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0">
        <f t="shared" si="147"/>
        <v>1996000</v>
      </c>
    </row>
    <row r="849" spans="1:16" hidden="1">
      <c r="A849" s="6"/>
      <c r="B849" s="6"/>
      <c r="C849" s="64"/>
      <c r="D849" s="45" t="s">
        <v>109</v>
      </c>
      <c r="E849" s="22">
        <v>1996000</v>
      </c>
      <c r="F849" s="21">
        <v>1996000</v>
      </c>
      <c r="G849" s="21">
        <v>0</v>
      </c>
      <c r="H849" s="21">
        <v>0</v>
      </c>
      <c r="I849" s="21">
        <v>0</v>
      </c>
      <c r="J849" s="22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2">
        <f t="shared" si="147"/>
        <v>1996000</v>
      </c>
    </row>
    <row r="850" spans="1:16" hidden="1">
      <c r="A850" s="6" t="s">
        <v>151</v>
      </c>
      <c r="B850" s="6" t="s">
        <v>228</v>
      </c>
      <c r="C850" s="64" t="s">
        <v>54</v>
      </c>
      <c r="D850" s="9" t="s">
        <v>152</v>
      </c>
      <c r="E850" s="10">
        <v>7833530</v>
      </c>
      <c r="F850" s="11">
        <v>7833530</v>
      </c>
      <c r="G850" s="11">
        <v>0</v>
      </c>
      <c r="H850" s="11">
        <v>1283530</v>
      </c>
      <c r="I850" s="11">
        <v>0</v>
      </c>
      <c r="J850" s="10">
        <v>11373111</v>
      </c>
      <c r="K850" s="11">
        <v>0</v>
      </c>
      <c r="L850" s="11">
        <v>0</v>
      </c>
      <c r="M850" s="11">
        <v>0</v>
      </c>
      <c r="N850" s="11">
        <v>11373111</v>
      </c>
      <c r="O850" s="11">
        <v>11373111</v>
      </c>
      <c r="P850" s="10">
        <f t="shared" si="147"/>
        <v>19206641</v>
      </c>
    </row>
    <row r="851" spans="1:16" hidden="1">
      <c r="A851" s="6" t="s">
        <v>163</v>
      </c>
      <c r="B851" s="6" t="s">
        <v>229</v>
      </c>
      <c r="C851" s="64" t="s">
        <v>74</v>
      </c>
      <c r="D851" s="9" t="s">
        <v>230</v>
      </c>
      <c r="E851" s="10">
        <v>400000</v>
      </c>
      <c r="F851" s="11">
        <v>250000</v>
      </c>
      <c r="G851" s="11">
        <v>0</v>
      </c>
      <c r="H851" s="11">
        <v>0</v>
      </c>
      <c r="I851" s="11">
        <v>150000</v>
      </c>
      <c r="J851" s="10">
        <v>450000</v>
      </c>
      <c r="K851" s="11">
        <v>0</v>
      </c>
      <c r="L851" s="11">
        <v>0</v>
      </c>
      <c r="M851" s="11">
        <v>0</v>
      </c>
      <c r="N851" s="11">
        <v>450000</v>
      </c>
      <c r="O851" s="11">
        <v>450000</v>
      </c>
      <c r="P851" s="10">
        <f t="shared" si="147"/>
        <v>850000</v>
      </c>
    </row>
    <row r="852" spans="1:16" hidden="1">
      <c r="A852" s="6" t="s">
        <v>154</v>
      </c>
      <c r="B852" s="6" t="s">
        <v>231</v>
      </c>
      <c r="C852" s="8"/>
      <c r="D852" s="9" t="s">
        <v>232</v>
      </c>
      <c r="E852" s="10">
        <v>0</v>
      </c>
      <c r="F852" s="11">
        <v>0</v>
      </c>
      <c r="G852" s="11">
        <v>0</v>
      </c>
      <c r="H852" s="11">
        <v>0</v>
      </c>
      <c r="I852" s="11">
        <v>0</v>
      </c>
      <c r="J852" s="10">
        <v>6100000</v>
      </c>
      <c r="K852" s="11">
        <v>0</v>
      </c>
      <c r="L852" s="11">
        <v>0</v>
      </c>
      <c r="M852" s="11">
        <v>0</v>
      </c>
      <c r="N852" s="11">
        <v>6100000</v>
      </c>
      <c r="O852" s="11">
        <v>6100000</v>
      </c>
      <c r="P852" s="10">
        <f t="shared" si="147"/>
        <v>6100000</v>
      </c>
    </row>
    <row r="853" spans="1:16" ht="38.25" hidden="1">
      <c r="A853" s="12" t="s">
        <v>187</v>
      </c>
      <c r="B853" s="12" t="s">
        <v>233</v>
      </c>
      <c r="C853" s="13" t="s">
        <v>59</v>
      </c>
      <c r="D853" s="65" t="s">
        <v>234</v>
      </c>
      <c r="E853" s="15">
        <v>0</v>
      </c>
      <c r="F853" s="14">
        <v>0</v>
      </c>
      <c r="G853" s="14">
        <v>0</v>
      </c>
      <c r="H853" s="14">
        <v>0</v>
      </c>
      <c r="I853" s="14">
        <v>0</v>
      </c>
      <c r="J853" s="15">
        <v>8050000</v>
      </c>
      <c r="K853" s="14">
        <v>0</v>
      </c>
      <c r="L853" s="14">
        <v>0</v>
      </c>
      <c r="M853" s="14">
        <v>0</v>
      </c>
      <c r="N853" s="14">
        <f>7300000+200000+550000</f>
        <v>8050000</v>
      </c>
      <c r="O853" s="14">
        <f>7300000+200000+550000</f>
        <v>8050000</v>
      </c>
      <c r="P853" s="15">
        <f t="shared" si="147"/>
        <v>8050000</v>
      </c>
    </row>
    <row r="854" spans="1:16" ht="25.5" hidden="1">
      <c r="A854" s="6" t="s">
        <v>158</v>
      </c>
      <c r="B854" s="6" t="s">
        <v>235</v>
      </c>
      <c r="C854" s="8"/>
      <c r="D854" s="9" t="s">
        <v>159</v>
      </c>
      <c r="E854" s="10">
        <v>1530000</v>
      </c>
      <c r="F854" s="11">
        <v>1530000</v>
      </c>
      <c r="G854" s="11">
        <v>0</v>
      </c>
      <c r="H854" s="11">
        <v>0</v>
      </c>
      <c r="I854" s="11">
        <v>0</v>
      </c>
      <c r="J854" s="10">
        <v>2942000</v>
      </c>
      <c r="K854" s="11">
        <v>0</v>
      </c>
      <c r="L854" s="11">
        <v>0</v>
      </c>
      <c r="M854" s="11">
        <v>0</v>
      </c>
      <c r="N854" s="11">
        <v>2942000</v>
      </c>
      <c r="O854" s="11">
        <v>2942000</v>
      </c>
      <c r="P854" s="10">
        <f t="shared" si="147"/>
        <v>4472000</v>
      </c>
    </row>
    <row r="855" spans="1:16" ht="25.5" hidden="1">
      <c r="A855" s="12" t="s">
        <v>186</v>
      </c>
      <c r="B855" s="12" t="s">
        <v>236</v>
      </c>
      <c r="C855" s="13" t="s">
        <v>64</v>
      </c>
      <c r="D855" s="65" t="s">
        <v>237</v>
      </c>
      <c r="E855" s="15">
        <v>1530000</v>
      </c>
      <c r="F855" s="14">
        <v>1530000</v>
      </c>
      <c r="G855" s="14">
        <v>0</v>
      </c>
      <c r="H855" s="14">
        <v>0</v>
      </c>
      <c r="I855" s="14">
        <v>0</v>
      </c>
      <c r="J855" s="15">
        <v>2942000</v>
      </c>
      <c r="K855" s="14">
        <v>0</v>
      </c>
      <c r="L855" s="14">
        <v>0</v>
      </c>
      <c r="M855" s="14">
        <v>0</v>
      </c>
      <c r="N855" s="14">
        <v>2942000</v>
      </c>
      <c r="O855" s="14">
        <v>2942000</v>
      </c>
      <c r="P855" s="15">
        <f t="shared" si="147"/>
        <v>4472000</v>
      </c>
    </row>
    <row r="856" spans="1:16" ht="25.5" hidden="1">
      <c r="A856" s="6" t="s">
        <v>166</v>
      </c>
      <c r="B856" s="6" t="s">
        <v>238</v>
      </c>
      <c r="C856" s="64" t="s">
        <v>59</v>
      </c>
      <c r="D856" s="9" t="s">
        <v>239</v>
      </c>
      <c r="E856" s="10">
        <v>0</v>
      </c>
      <c r="F856" s="11">
        <v>0</v>
      </c>
      <c r="G856" s="11">
        <v>0</v>
      </c>
      <c r="H856" s="11">
        <v>0</v>
      </c>
      <c r="I856" s="11">
        <v>0</v>
      </c>
      <c r="J856" s="10">
        <v>1900000</v>
      </c>
      <c r="K856" s="11">
        <v>0</v>
      </c>
      <c r="L856" s="11">
        <v>0</v>
      </c>
      <c r="M856" s="11">
        <v>0</v>
      </c>
      <c r="N856" s="11">
        <v>1900000</v>
      </c>
      <c r="O856" s="11">
        <v>1900000</v>
      </c>
      <c r="P856" s="10">
        <f t="shared" si="147"/>
        <v>1900000</v>
      </c>
    </row>
    <row r="857" spans="1:16" hidden="1">
      <c r="A857" s="6"/>
      <c r="B857" s="6"/>
      <c r="C857" s="64"/>
      <c r="D857" s="45" t="s">
        <v>109</v>
      </c>
      <c r="E857" s="22">
        <v>0</v>
      </c>
      <c r="F857" s="21">
        <v>0</v>
      </c>
      <c r="G857" s="21">
        <v>0</v>
      </c>
      <c r="H857" s="21">
        <v>0</v>
      </c>
      <c r="I857" s="21">
        <v>0</v>
      </c>
      <c r="J857" s="22">
        <v>1300000</v>
      </c>
      <c r="K857" s="21">
        <v>0</v>
      </c>
      <c r="L857" s="21">
        <v>0</v>
      </c>
      <c r="M857" s="21">
        <v>0</v>
      </c>
      <c r="N857" s="21">
        <v>1300000</v>
      </c>
      <c r="O857" s="21">
        <v>1300000</v>
      </c>
      <c r="P857" s="22">
        <f t="shared" si="147"/>
        <v>1300000</v>
      </c>
    </row>
    <row r="858" spans="1:16" hidden="1">
      <c r="A858" s="6"/>
      <c r="B858" s="6"/>
      <c r="C858" s="64"/>
      <c r="D858" s="45" t="s">
        <v>111</v>
      </c>
      <c r="E858" s="22">
        <v>0</v>
      </c>
      <c r="F858" s="21">
        <v>0</v>
      </c>
      <c r="G858" s="21">
        <v>0</v>
      </c>
      <c r="H858" s="21">
        <v>0</v>
      </c>
      <c r="I858" s="21">
        <v>0</v>
      </c>
      <c r="J858" s="22">
        <v>600000</v>
      </c>
      <c r="K858" s="21">
        <v>0</v>
      </c>
      <c r="L858" s="21">
        <v>0</v>
      </c>
      <c r="M858" s="21">
        <v>0</v>
      </c>
      <c r="N858" s="21">
        <v>600000</v>
      </c>
      <c r="O858" s="21">
        <v>600000</v>
      </c>
      <c r="P858" s="22">
        <f t="shared" si="147"/>
        <v>600000</v>
      </c>
    </row>
    <row r="859" spans="1:16" hidden="1">
      <c r="A859" s="6" t="s">
        <v>240</v>
      </c>
      <c r="B859" s="6" t="s">
        <v>241</v>
      </c>
      <c r="C859" s="8"/>
      <c r="D859" s="9" t="s">
        <v>242</v>
      </c>
      <c r="E859" s="10">
        <v>0</v>
      </c>
      <c r="F859" s="11">
        <v>0</v>
      </c>
      <c r="G859" s="11">
        <v>0</v>
      </c>
      <c r="H859" s="11">
        <v>0</v>
      </c>
      <c r="I859" s="11">
        <v>0</v>
      </c>
      <c r="J859" s="10">
        <v>1400000</v>
      </c>
      <c r="K859" s="11">
        <v>0</v>
      </c>
      <c r="L859" s="11">
        <v>0</v>
      </c>
      <c r="M859" s="11">
        <v>0</v>
      </c>
      <c r="N859" s="11">
        <v>1400000</v>
      </c>
      <c r="O859" s="11">
        <v>0</v>
      </c>
      <c r="P859" s="10">
        <f t="shared" si="147"/>
        <v>1400000</v>
      </c>
    </row>
    <row r="860" spans="1:16" ht="89.25" hidden="1">
      <c r="A860" s="12" t="s">
        <v>191</v>
      </c>
      <c r="B860" s="12" t="s">
        <v>243</v>
      </c>
      <c r="C860" s="13" t="s">
        <v>59</v>
      </c>
      <c r="D860" s="65" t="s">
        <v>244</v>
      </c>
      <c r="E860" s="15">
        <v>0</v>
      </c>
      <c r="F860" s="14">
        <v>0</v>
      </c>
      <c r="G860" s="14">
        <v>0</v>
      </c>
      <c r="H860" s="14">
        <v>0</v>
      </c>
      <c r="I860" s="14">
        <v>0</v>
      </c>
      <c r="J860" s="15">
        <v>1400000</v>
      </c>
      <c r="K860" s="14">
        <v>0</v>
      </c>
      <c r="L860" s="14">
        <v>0</v>
      </c>
      <c r="M860" s="14">
        <v>0</v>
      </c>
      <c r="N860" s="14">
        <v>1400000</v>
      </c>
      <c r="O860" s="14">
        <v>0</v>
      </c>
      <c r="P860" s="15">
        <f t="shared" si="147"/>
        <v>1400000</v>
      </c>
    </row>
    <row r="861" spans="1:16" ht="25.5" hidden="1">
      <c r="A861" s="6" t="s">
        <v>245</v>
      </c>
      <c r="B861" s="6" t="s">
        <v>246</v>
      </c>
      <c r="C861" s="8"/>
      <c r="D861" s="9" t="s">
        <v>247</v>
      </c>
      <c r="E861" s="10">
        <v>0</v>
      </c>
      <c r="F861" s="11">
        <v>0</v>
      </c>
      <c r="G861" s="11">
        <v>0</v>
      </c>
      <c r="H861" s="11">
        <v>0</v>
      </c>
      <c r="I861" s="11">
        <v>0</v>
      </c>
      <c r="J861" s="10">
        <v>202000</v>
      </c>
      <c r="K861" s="11">
        <v>202000</v>
      </c>
      <c r="L861" s="11">
        <v>0</v>
      </c>
      <c r="M861" s="11">
        <v>0</v>
      </c>
      <c r="N861" s="11">
        <v>0</v>
      </c>
      <c r="O861" s="11">
        <v>0</v>
      </c>
      <c r="P861" s="10">
        <f t="shared" si="147"/>
        <v>202000</v>
      </c>
    </row>
    <row r="862" spans="1:16" ht="25.5" hidden="1">
      <c r="A862" s="12" t="s">
        <v>169</v>
      </c>
      <c r="B862" s="12" t="s">
        <v>248</v>
      </c>
      <c r="C862" s="13" t="s">
        <v>79</v>
      </c>
      <c r="D862" s="65" t="s">
        <v>90</v>
      </c>
      <c r="E862" s="15">
        <v>0</v>
      </c>
      <c r="F862" s="14">
        <v>0</v>
      </c>
      <c r="G862" s="14">
        <v>0</v>
      </c>
      <c r="H862" s="14">
        <v>0</v>
      </c>
      <c r="I862" s="14">
        <v>0</v>
      </c>
      <c r="J862" s="15">
        <v>202000</v>
      </c>
      <c r="K862" s="14">
        <f>2000+200000</f>
        <v>202000</v>
      </c>
      <c r="L862" s="14">
        <v>0</v>
      </c>
      <c r="M862" s="14">
        <v>0</v>
      </c>
      <c r="N862" s="14">
        <v>0</v>
      </c>
      <c r="O862" s="14">
        <v>0</v>
      </c>
      <c r="P862" s="15">
        <f t="shared" si="147"/>
        <v>202000</v>
      </c>
    </row>
    <row r="863" spans="1:16" ht="25.5" hidden="1">
      <c r="A863" s="6" t="s">
        <v>170</v>
      </c>
      <c r="B863" s="6" t="s">
        <v>249</v>
      </c>
      <c r="C863" s="64" t="s">
        <v>171</v>
      </c>
      <c r="D863" s="9" t="s">
        <v>172</v>
      </c>
      <c r="E863" s="10">
        <v>0</v>
      </c>
      <c r="F863" s="11">
        <v>0</v>
      </c>
      <c r="G863" s="11">
        <v>0</v>
      </c>
      <c r="H863" s="11">
        <v>0</v>
      </c>
      <c r="I863" s="11">
        <v>0</v>
      </c>
      <c r="J863" s="10">
        <v>916000</v>
      </c>
      <c r="K863" s="11">
        <v>916000</v>
      </c>
      <c r="L863" s="11">
        <v>0</v>
      </c>
      <c r="M863" s="11">
        <v>0</v>
      </c>
      <c r="N863" s="11">
        <v>0</v>
      </c>
      <c r="O863" s="11">
        <v>0</v>
      </c>
      <c r="P863" s="10">
        <f t="shared" si="147"/>
        <v>916000</v>
      </c>
    </row>
    <row r="864" spans="1:16" hidden="1">
      <c r="A864" s="6" t="s">
        <v>160</v>
      </c>
      <c r="B864" s="6" t="s">
        <v>250</v>
      </c>
      <c r="C864" s="64" t="s">
        <v>69</v>
      </c>
      <c r="D864" s="9" t="s">
        <v>161</v>
      </c>
      <c r="E864" s="10">
        <v>176552</v>
      </c>
      <c r="F864" s="11">
        <v>176552</v>
      </c>
      <c r="G864" s="11">
        <v>0</v>
      </c>
      <c r="H864" s="11">
        <v>0</v>
      </c>
      <c r="I864" s="11">
        <v>0</v>
      </c>
      <c r="J864" s="10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0">
        <f t="shared" si="147"/>
        <v>176552</v>
      </c>
    </row>
    <row r="865" spans="1:16" hidden="1">
      <c r="A865" s="6"/>
      <c r="B865" s="6"/>
      <c r="C865" s="64"/>
      <c r="D865" s="45" t="s">
        <v>111</v>
      </c>
      <c r="E865" s="22">
        <v>176552</v>
      </c>
      <c r="F865" s="21">
        <v>176552</v>
      </c>
      <c r="G865" s="21">
        <v>0</v>
      </c>
      <c r="H865" s="21">
        <v>0</v>
      </c>
      <c r="I865" s="21">
        <v>0</v>
      </c>
      <c r="J865" s="22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10">
        <f t="shared" si="147"/>
        <v>176552</v>
      </c>
    </row>
    <row r="866" spans="1:16" ht="38.25" hidden="1">
      <c r="A866" s="6" t="s">
        <v>173</v>
      </c>
      <c r="B866" s="6" t="s">
        <v>251</v>
      </c>
      <c r="C866" s="64" t="s">
        <v>114</v>
      </c>
      <c r="D866" s="9" t="s">
        <v>252</v>
      </c>
      <c r="E866" s="10">
        <v>5658600</v>
      </c>
      <c r="F866" s="11">
        <v>5658600</v>
      </c>
      <c r="G866" s="11">
        <v>0</v>
      </c>
      <c r="H866" s="11">
        <v>0</v>
      </c>
      <c r="I866" s="11">
        <v>0</v>
      </c>
      <c r="J866" s="10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0">
        <f t="shared" si="147"/>
        <v>5658600</v>
      </c>
    </row>
    <row r="867" spans="1:16" ht="76.5" hidden="1">
      <c r="A867" s="6" t="s">
        <v>284</v>
      </c>
      <c r="B867" s="6">
        <v>9730</v>
      </c>
      <c r="C867" s="64" t="s">
        <v>114</v>
      </c>
      <c r="D867" s="11" t="s">
        <v>285</v>
      </c>
      <c r="E867" s="10">
        <v>1000000</v>
      </c>
      <c r="F867" s="11">
        <v>1000000</v>
      </c>
      <c r="G867" s="11">
        <v>0</v>
      </c>
      <c r="H867" s="11">
        <v>0</v>
      </c>
      <c r="I867" s="11">
        <v>0</v>
      </c>
      <c r="J867" s="10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0">
        <f t="shared" si="147"/>
        <v>1000000</v>
      </c>
    </row>
    <row r="868" spans="1:16" hidden="1">
      <c r="A868" s="6" t="s">
        <v>253</v>
      </c>
      <c r="B868" s="6" t="s">
        <v>254</v>
      </c>
      <c r="C868" s="64" t="s">
        <v>114</v>
      </c>
      <c r="D868" s="9" t="s">
        <v>255</v>
      </c>
      <c r="E868" s="10">
        <v>1109020</v>
      </c>
      <c r="F868" s="11">
        <v>1109020</v>
      </c>
      <c r="G868" s="11">
        <v>0</v>
      </c>
      <c r="H868" s="11">
        <v>0</v>
      </c>
      <c r="I868" s="11">
        <v>0</v>
      </c>
      <c r="J868" s="10">
        <v>70000</v>
      </c>
      <c r="K868" s="11">
        <v>0</v>
      </c>
      <c r="L868" s="11">
        <v>0</v>
      </c>
      <c r="M868" s="11">
        <v>0</v>
      </c>
      <c r="N868" s="11">
        <v>70000</v>
      </c>
      <c r="O868" s="11">
        <v>70000</v>
      </c>
      <c r="P868" s="10">
        <f t="shared" si="147"/>
        <v>1179020</v>
      </c>
    </row>
    <row r="869" spans="1:16" ht="38.25" hidden="1">
      <c r="A869" s="6" t="s">
        <v>256</v>
      </c>
      <c r="B869" s="6" t="s">
        <v>257</v>
      </c>
      <c r="C869" s="64" t="s">
        <v>114</v>
      </c>
      <c r="D869" s="9" t="s">
        <v>258</v>
      </c>
      <c r="E869" s="10">
        <v>690000</v>
      </c>
      <c r="F869" s="11">
        <v>690000</v>
      </c>
      <c r="G869" s="11">
        <v>0</v>
      </c>
      <c r="H869" s="11">
        <v>0</v>
      </c>
      <c r="I869" s="11">
        <v>0</v>
      </c>
      <c r="J869" s="10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0">
        <f t="shared" si="147"/>
        <v>690000</v>
      </c>
    </row>
    <row r="870" spans="1:16" hidden="1">
      <c r="A870" s="6" t="s">
        <v>264</v>
      </c>
      <c r="B870" s="6"/>
      <c r="C870" s="64"/>
      <c r="D870" s="11" t="s">
        <v>266</v>
      </c>
      <c r="E870" s="10">
        <f t="shared" ref="E870:O870" si="148">E871</f>
        <v>21746667</v>
      </c>
      <c r="F870" s="11">
        <f t="shared" si="148"/>
        <v>21746667</v>
      </c>
      <c r="G870" s="11">
        <f t="shared" si="148"/>
        <v>11965655</v>
      </c>
      <c r="H870" s="11">
        <f t="shared" si="148"/>
        <v>3130587</v>
      </c>
      <c r="I870" s="11">
        <f t="shared" si="148"/>
        <v>0</v>
      </c>
      <c r="J870" s="10">
        <f t="shared" si="148"/>
        <v>2400414</v>
      </c>
      <c r="K870" s="11">
        <f t="shared" si="148"/>
        <v>88081</v>
      </c>
      <c r="L870" s="11">
        <f t="shared" si="148"/>
        <v>0</v>
      </c>
      <c r="M870" s="11">
        <f t="shared" si="148"/>
        <v>0</v>
      </c>
      <c r="N870" s="11">
        <f t="shared" si="148"/>
        <v>2312333</v>
      </c>
      <c r="O870" s="11">
        <f t="shared" si="148"/>
        <v>2312333</v>
      </c>
      <c r="P870" s="10">
        <f t="shared" si="147"/>
        <v>24147081</v>
      </c>
    </row>
    <row r="871" spans="1:16" ht="25.5" hidden="1">
      <c r="A871" s="6" t="s">
        <v>265</v>
      </c>
      <c r="B871" s="6"/>
      <c r="C871" s="64"/>
      <c r="D871" s="11" t="s">
        <v>267</v>
      </c>
      <c r="E871" s="10">
        <f>F871+I871</f>
        <v>21746667</v>
      </c>
      <c r="F871" s="11">
        <f>F872+F873+F876+F875</f>
        <v>21746667</v>
      </c>
      <c r="G871" s="11">
        <f>G872+G873+G876+G875</f>
        <v>11965655</v>
      </c>
      <c r="H871" s="11">
        <f>H872+H873+H876+H875</f>
        <v>3130587</v>
      </c>
      <c r="I871" s="11">
        <f>I872+I873+I876+I875</f>
        <v>0</v>
      </c>
      <c r="J871" s="10">
        <f>K871+N871</f>
        <v>2400414</v>
      </c>
      <c r="K871" s="11">
        <f>K872+K873+K876</f>
        <v>88081</v>
      </c>
      <c r="L871" s="11">
        <f>L872+L873+L876</f>
        <v>0</v>
      </c>
      <c r="M871" s="11">
        <f>M872+M873+M876</f>
        <v>0</v>
      </c>
      <c r="N871" s="11">
        <f>N872+N873+N876</f>
        <v>2312333</v>
      </c>
      <c r="O871" s="11">
        <f>O872+O873+O876</f>
        <v>2312333</v>
      </c>
      <c r="P871" s="10">
        <f t="shared" si="147"/>
        <v>24147081</v>
      </c>
    </row>
    <row r="872" spans="1:16" hidden="1">
      <c r="A872" s="6" t="s">
        <v>268</v>
      </c>
      <c r="B872" s="6">
        <v>1010</v>
      </c>
      <c r="C872" s="64" t="s">
        <v>129</v>
      </c>
      <c r="D872" s="9" t="s">
        <v>132</v>
      </c>
      <c r="E872" s="10">
        <v>2141782</v>
      </c>
      <c r="F872" s="11">
        <v>2141782</v>
      </c>
      <c r="G872" s="11">
        <v>1255491</v>
      </c>
      <c r="H872" s="11">
        <v>201977</v>
      </c>
      <c r="I872" s="11">
        <v>0</v>
      </c>
      <c r="J872" s="10">
        <v>955698</v>
      </c>
      <c r="K872" s="11">
        <v>50000</v>
      </c>
      <c r="L872" s="11">
        <v>0</v>
      </c>
      <c r="M872" s="11">
        <v>0</v>
      </c>
      <c r="N872" s="11">
        <v>905698</v>
      </c>
      <c r="O872" s="11">
        <v>905698</v>
      </c>
      <c r="P872" s="10">
        <f t="shared" si="147"/>
        <v>3097480</v>
      </c>
    </row>
    <row r="873" spans="1:16" ht="63.75" hidden="1">
      <c r="A873" s="6" t="s">
        <v>269</v>
      </c>
      <c r="B873" s="6" t="s">
        <v>29</v>
      </c>
      <c r="C873" s="64" t="s">
        <v>28</v>
      </c>
      <c r="D873" s="9" t="s">
        <v>203</v>
      </c>
      <c r="E873" s="10">
        <v>18257815</v>
      </c>
      <c r="F873" s="11">
        <v>18257815</v>
      </c>
      <c r="G873" s="11">
        <v>10155320</v>
      </c>
      <c r="H873" s="11">
        <v>2928610</v>
      </c>
      <c r="I873" s="11">
        <v>0</v>
      </c>
      <c r="J873" s="10">
        <v>1420716</v>
      </c>
      <c r="K873" s="11">
        <v>38081</v>
      </c>
      <c r="L873" s="11">
        <v>0</v>
      </c>
      <c r="M873" s="11">
        <v>0</v>
      </c>
      <c r="N873" s="11">
        <v>1382635</v>
      </c>
      <c r="O873" s="11">
        <v>1382635</v>
      </c>
      <c r="P873" s="10">
        <f t="shared" si="147"/>
        <v>19678531</v>
      </c>
    </row>
    <row r="874" spans="1:16" ht="25.5" hidden="1">
      <c r="A874" s="6"/>
      <c r="B874" s="6"/>
      <c r="C874" s="64"/>
      <c r="D874" s="46" t="s">
        <v>133</v>
      </c>
      <c r="E874" s="42">
        <f>F874+I874</f>
        <v>13801200</v>
      </c>
      <c r="F874" s="14">
        <v>13801200</v>
      </c>
      <c r="G874" s="14">
        <v>11312500</v>
      </c>
      <c r="H874" s="11">
        <v>0</v>
      </c>
      <c r="I874" s="11">
        <v>0</v>
      </c>
      <c r="J874" s="10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0">
        <f t="shared" si="147"/>
        <v>13801200</v>
      </c>
    </row>
    <row r="875" spans="1:16" ht="25.5" hidden="1">
      <c r="A875" s="6" t="s">
        <v>286</v>
      </c>
      <c r="B875" s="6">
        <v>1150</v>
      </c>
      <c r="C875" s="64" t="s">
        <v>31</v>
      </c>
      <c r="D875" s="45" t="s">
        <v>287</v>
      </c>
      <c r="E875" s="41">
        <v>96942</v>
      </c>
      <c r="F875" s="11">
        <v>96942</v>
      </c>
      <c r="G875" s="11">
        <v>84378</v>
      </c>
      <c r="H875" s="11">
        <v>0</v>
      </c>
      <c r="I875" s="11">
        <v>0</v>
      </c>
      <c r="J875" s="10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0">
        <f t="shared" si="147"/>
        <v>96942</v>
      </c>
    </row>
    <row r="876" spans="1:16" hidden="1">
      <c r="A876" s="6" t="s">
        <v>270</v>
      </c>
      <c r="B876" s="6">
        <v>1160</v>
      </c>
      <c r="C876" s="64"/>
      <c r="D876" s="11" t="s">
        <v>136</v>
      </c>
      <c r="E876" s="10">
        <f t="shared" ref="E876:O876" si="149">E877+E878</f>
        <v>1250128</v>
      </c>
      <c r="F876" s="32">
        <f t="shared" si="149"/>
        <v>1250128</v>
      </c>
      <c r="G876" s="32">
        <f t="shared" si="149"/>
        <v>470466</v>
      </c>
      <c r="H876" s="32">
        <f t="shared" si="149"/>
        <v>0</v>
      </c>
      <c r="I876" s="32">
        <f t="shared" si="149"/>
        <v>0</v>
      </c>
      <c r="J876" s="10">
        <f t="shared" si="149"/>
        <v>24000</v>
      </c>
      <c r="K876" s="32">
        <f t="shared" si="149"/>
        <v>0</v>
      </c>
      <c r="L876" s="32">
        <f t="shared" si="149"/>
        <v>0</v>
      </c>
      <c r="M876" s="32">
        <f t="shared" si="149"/>
        <v>0</v>
      </c>
      <c r="N876" s="32">
        <f t="shared" si="149"/>
        <v>24000</v>
      </c>
      <c r="O876" s="32">
        <f t="shared" si="149"/>
        <v>24000</v>
      </c>
      <c r="P876" s="10">
        <f t="shared" si="147"/>
        <v>1274128</v>
      </c>
    </row>
    <row r="877" spans="1:16" ht="25.5" hidden="1">
      <c r="A877" s="12" t="s">
        <v>271</v>
      </c>
      <c r="B877" s="20">
        <v>1161</v>
      </c>
      <c r="C877" s="68" t="s">
        <v>31</v>
      </c>
      <c r="D877" s="21" t="s">
        <v>273</v>
      </c>
      <c r="E877" s="22">
        <v>749870</v>
      </c>
      <c r="F877" s="21">
        <v>749870</v>
      </c>
      <c r="G877" s="21">
        <v>470466</v>
      </c>
      <c r="H877" s="11">
        <v>0</v>
      </c>
      <c r="I877" s="11">
        <v>0</v>
      </c>
      <c r="J877" s="10">
        <v>24000</v>
      </c>
      <c r="K877" s="11">
        <v>0</v>
      </c>
      <c r="L877" s="11">
        <v>0</v>
      </c>
      <c r="M877" s="11">
        <v>0</v>
      </c>
      <c r="N877" s="11">
        <v>24000</v>
      </c>
      <c r="O877" s="11">
        <v>24000</v>
      </c>
      <c r="P877" s="10">
        <f t="shared" si="147"/>
        <v>773870</v>
      </c>
    </row>
    <row r="878" spans="1:16" hidden="1">
      <c r="A878" s="12" t="s">
        <v>272</v>
      </c>
      <c r="B878" s="12" t="s">
        <v>208</v>
      </c>
      <c r="C878" s="13" t="s">
        <v>31</v>
      </c>
      <c r="D878" s="65" t="s">
        <v>136</v>
      </c>
      <c r="E878" s="22">
        <v>500258</v>
      </c>
      <c r="F878" s="21">
        <v>500258</v>
      </c>
      <c r="G878" s="11">
        <v>0</v>
      </c>
      <c r="H878" s="11">
        <v>0</v>
      </c>
      <c r="I878" s="11">
        <v>0</v>
      </c>
      <c r="J878" s="10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0">
        <f t="shared" si="147"/>
        <v>500258</v>
      </c>
    </row>
    <row r="879" spans="1:16" hidden="1">
      <c r="A879" s="16"/>
      <c r="B879" s="17" t="s">
        <v>93</v>
      </c>
      <c r="C879" s="18"/>
      <c r="D879" s="10" t="s">
        <v>10</v>
      </c>
      <c r="E879" s="10">
        <f t="shared" ref="E879:O879" si="150">E817+E870</f>
        <v>76940842</v>
      </c>
      <c r="F879" s="10">
        <f t="shared" si="150"/>
        <v>74154274</v>
      </c>
      <c r="G879" s="10">
        <f t="shared" si="150"/>
        <v>29082269</v>
      </c>
      <c r="H879" s="10">
        <f t="shared" si="150"/>
        <v>6805090</v>
      </c>
      <c r="I879" s="10">
        <f t="shared" si="150"/>
        <v>150000</v>
      </c>
      <c r="J879" s="10">
        <f t="shared" si="150"/>
        <v>36478907</v>
      </c>
      <c r="K879" s="10">
        <f t="shared" si="150"/>
        <v>1288000</v>
      </c>
      <c r="L879" s="10">
        <f t="shared" si="150"/>
        <v>0</v>
      </c>
      <c r="M879" s="10">
        <f t="shared" si="150"/>
        <v>0</v>
      </c>
      <c r="N879" s="10">
        <f t="shared" si="150"/>
        <v>35190907</v>
      </c>
      <c r="O879" s="10">
        <f t="shared" si="150"/>
        <v>33790907</v>
      </c>
      <c r="P879" s="10">
        <f t="shared" si="147"/>
        <v>113419749</v>
      </c>
    </row>
    <row r="880" spans="1:16" hidden="1"/>
    <row r="881" spans="1:16" hidden="1"/>
    <row r="882" spans="1:16" hidden="1">
      <c r="B882" s="2" t="s">
        <v>259</v>
      </c>
      <c r="I882" s="2" t="s">
        <v>178</v>
      </c>
    </row>
    <row r="883" spans="1:16" hidden="1"/>
    <row r="884" spans="1:16" hidden="1">
      <c r="A884" t="s">
        <v>193</v>
      </c>
      <c r="M884" s="91" t="s">
        <v>316</v>
      </c>
      <c r="N884" s="91"/>
      <c r="O884" s="91"/>
      <c r="P884" s="91"/>
    </row>
    <row r="885" spans="1:16" ht="23.25" hidden="1" customHeight="1">
      <c r="M885" s="91"/>
      <c r="N885" s="91"/>
      <c r="O885" s="91"/>
      <c r="P885" s="91"/>
    </row>
    <row r="886" spans="1:16" ht="26.25" hidden="1" customHeight="1">
      <c r="M886" s="91"/>
      <c r="N886" s="91"/>
      <c r="O886" s="91"/>
      <c r="P886" s="91"/>
    </row>
    <row r="887" spans="1:16" hidden="1">
      <c r="M887" s="91"/>
      <c r="N887" s="91"/>
      <c r="O887" s="91"/>
      <c r="P887" s="91"/>
    </row>
    <row r="888" spans="1:16" hidden="1">
      <c r="A888" s="92" t="s">
        <v>2</v>
      </c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</row>
    <row r="889" spans="1:16" hidden="1">
      <c r="A889" s="92" t="s">
        <v>296</v>
      </c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</row>
    <row r="890" spans="1:16" hidden="1">
      <c r="P890" s="1" t="s">
        <v>4</v>
      </c>
    </row>
    <row r="891" spans="1:16" ht="12.75" hidden="1" customHeight="1">
      <c r="A891" s="94" t="s">
        <v>290</v>
      </c>
      <c r="B891" s="94" t="s">
        <v>289</v>
      </c>
      <c r="C891" s="94" t="s">
        <v>291</v>
      </c>
      <c r="D891" s="95" t="s">
        <v>292</v>
      </c>
      <c r="E891" s="95" t="s">
        <v>9</v>
      </c>
      <c r="F891" s="95"/>
      <c r="G891" s="95"/>
      <c r="H891" s="95"/>
      <c r="I891" s="95"/>
      <c r="J891" s="95" t="s">
        <v>16</v>
      </c>
      <c r="K891" s="95"/>
      <c r="L891" s="95"/>
      <c r="M891" s="95"/>
      <c r="N891" s="95"/>
      <c r="O891" s="95"/>
      <c r="P891" s="96" t="s">
        <v>194</v>
      </c>
    </row>
    <row r="892" spans="1:16" ht="12.75" hidden="1" customHeight="1">
      <c r="A892" s="95"/>
      <c r="B892" s="95"/>
      <c r="C892" s="95"/>
      <c r="D892" s="95"/>
      <c r="E892" s="96" t="s">
        <v>293</v>
      </c>
      <c r="F892" s="95" t="s">
        <v>11</v>
      </c>
      <c r="G892" s="95" t="s">
        <v>12</v>
      </c>
      <c r="H892" s="95"/>
      <c r="I892" s="95" t="s">
        <v>15</v>
      </c>
      <c r="J892" s="96" t="s">
        <v>293</v>
      </c>
      <c r="K892" s="95" t="s">
        <v>294</v>
      </c>
      <c r="L892" s="95" t="s">
        <v>11</v>
      </c>
      <c r="M892" s="97" t="s">
        <v>12</v>
      </c>
      <c r="N892" s="98"/>
      <c r="O892" s="99" t="s">
        <v>295</v>
      </c>
      <c r="P892" s="95"/>
    </row>
    <row r="893" spans="1:16" ht="15.75" hidden="1" customHeight="1">
      <c r="A893" s="95"/>
      <c r="B893" s="95"/>
      <c r="C893" s="95"/>
      <c r="D893" s="95"/>
      <c r="E893" s="95"/>
      <c r="F893" s="95"/>
      <c r="G893" s="95" t="s">
        <v>13</v>
      </c>
      <c r="H893" s="95" t="s">
        <v>14</v>
      </c>
      <c r="I893" s="95"/>
      <c r="J893" s="95"/>
      <c r="K893" s="95"/>
      <c r="L893" s="95"/>
      <c r="M893" s="95" t="s">
        <v>13</v>
      </c>
      <c r="N893" s="95" t="s">
        <v>14</v>
      </c>
      <c r="O893" s="100"/>
      <c r="P893" s="95"/>
    </row>
    <row r="894" spans="1:16" ht="41.25" hidden="1" customHeight="1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101"/>
      <c r="P894" s="95"/>
    </row>
    <row r="895" spans="1:16" hidden="1">
      <c r="A895" s="75">
        <v>1</v>
      </c>
      <c r="B895" s="75">
        <v>2</v>
      </c>
      <c r="C895" s="75">
        <v>3</v>
      </c>
      <c r="D895" s="75">
        <v>4</v>
      </c>
      <c r="E895" s="76">
        <v>5</v>
      </c>
      <c r="F895" s="75">
        <v>6</v>
      </c>
      <c r="G895" s="75">
        <v>7</v>
      </c>
      <c r="H895" s="75">
        <v>8</v>
      </c>
      <c r="I895" s="75">
        <v>9</v>
      </c>
      <c r="J895" s="76">
        <v>10</v>
      </c>
      <c r="K895" s="75">
        <v>11</v>
      </c>
      <c r="L895" s="75">
        <v>12</v>
      </c>
      <c r="M895" s="75">
        <v>13</v>
      </c>
      <c r="N895" s="75">
        <v>14</v>
      </c>
      <c r="O895" s="75">
        <v>15</v>
      </c>
      <c r="P895" s="76">
        <v>16</v>
      </c>
    </row>
    <row r="896" spans="1:16" hidden="1">
      <c r="A896" s="6" t="s">
        <v>124</v>
      </c>
      <c r="B896" s="7"/>
      <c r="C896" s="8"/>
      <c r="D896" s="45" t="s">
        <v>182</v>
      </c>
      <c r="E896" s="10">
        <f>E898+E899+E906+E907+E909+E911+E913+E915+E916+E920+E924+E927+E932+E934+E936+E937+E941+E942+E943+E945+E948+E949+E950+E951+E929</f>
        <v>50463077</v>
      </c>
      <c r="F896" s="10">
        <f>F898+F899+F906+F907+F909+F911+F913+F915+F916+F920+F924+F927+F932+F934+F936+F937+F941+F942+F943+F945+F948+F949+F950+F951+F929</f>
        <v>50393077</v>
      </c>
      <c r="G896" s="10">
        <f t="shared" ref="G896:P896" si="151">G898+G899+G906+G907+G909+G911+G913+G915+G916+G920+G924+G927+G932+G934+G936+G937+G941+G942+G943+G945+G948+G949+G950+G951</f>
        <v>22646910</v>
      </c>
      <c r="H896" s="10">
        <f t="shared" si="151"/>
        <v>3126565</v>
      </c>
      <c r="I896" s="10">
        <f t="shared" si="151"/>
        <v>70000</v>
      </c>
      <c r="J896" s="10">
        <f t="shared" si="151"/>
        <v>6025369</v>
      </c>
      <c r="K896" s="10">
        <f t="shared" si="151"/>
        <v>5830369</v>
      </c>
      <c r="L896" s="10">
        <f t="shared" si="151"/>
        <v>195000</v>
      </c>
      <c r="M896" s="10">
        <f t="shared" si="151"/>
        <v>0</v>
      </c>
      <c r="N896" s="10">
        <f t="shared" si="151"/>
        <v>0</v>
      </c>
      <c r="O896" s="10">
        <f t="shared" si="151"/>
        <v>5830369</v>
      </c>
      <c r="P896" s="10">
        <f t="shared" si="151"/>
        <v>54535846</v>
      </c>
    </row>
    <row r="897" spans="1:16" ht="12.75" hidden="1" customHeight="1">
      <c r="A897" s="6" t="s">
        <v>125</v>
      </c>
      <c r="B897" s="7"/>
      <c r="C897" s="8"/>
      <c r="D897" s="45" t="s">
        <v>182</v>
      </c>
      <c r="E897" s="10">
        <f t="shared" ref="E897:P897" si="152">E896</f>
        <v>50463077</v>
      </c>
      <c r="F897" s="10">
        <f t="shared" si="152"/>
        <v>50393077</v>
      </c>
      <c r="G897" s="10">
        <f t="shared" si="152"/>
        <v>22646910</v>
      </c>
      <c r="H897" s="10">
        <f t="shared" si="152"/>
        <v>3126565</v>
      </c>
      <c r="I897" s="10">
        <f t="shared" si="152"/>
        <v>70000</v>
      </c>
      <c r="J897" s="10">
        <f t="shared" si="152"/>
        <v>6025369</v>
      </c>
      <c r="K897" s="10">
        <f t="shared" si="152"/>
        <v>5830369</v>
      </c>
      <c r="L897" s="10">
        <f t="shared" si="152"/>
        <v>195000</v>
      </c>
      <c r="M897" s="10">
        <f t="shared" si="152"/>
        <v>0</v>
      </c>
      <c r="N897" s="10">
        <f t="shared" si="152"/>
        <v>0</v>
      </c>
      <c r="O897" s="10">
        <f t="shared" si="152"/>
        <v>5830369</v>
      </c>
      <c r="P897" s="10">
        <f t="shared" si="152"/>
        <v>54535846</v>
      </c>
    </row>
    <row r="898" spans="1:16" ht="63.75" hidden="1">
      <c r="A898" s="6" t="s">
        <v>126</v>
      </c>
      <c r="B898" s="6" t="s">
        <v>127</v>
      </c>
      <c r="C898" s="64" t="s">
        <v>23</v>
      </c>
      <c r="D898" s="9" t="s">
        <v>181</v>
      </c>
      <c r="E898" s="10">
        <v>19981466</v>
      </c>
      <c r="F898" s="11">
        <v>19981466</v>
      </c>
      <c r="G898" s="11">
        <v>14055300</v>
      </c>
      <c r="H898" s="11">
        <v>1029000</v>
      </c>
      <c r="I898" s="11">
        <v>0</v>
      </c>
      <c r="J898" s="10">
        <v>135000</v>
      </c>
      <c r="K898" s="11">
        <v>100000</v>
      </c>
      <c r="L898" s="11">
        <v>35000</v>
      </c>
      <c r="M898" s="11">
        <v>0</v>
      </c>
      <c r="N898" s="11">
        <v>0</v>
      </c>
      <c r="O898" s="11">
        <v>100000</v>
      </c>
      <c r="P898" s="10">
        <f t="shared" ref="P898:P961" si="153">E898+J898</f>
        <v>20116466</v>
      </c>
    </row>
    <row r="899" spans="1:16" ht="38.25" hidden="1">
      <c r="A899" s="6" t="s">
        <v>262</v>
      </c>
      <c r="B899" s="6" t="s">
        <v>200</v>
      </c>
      <c r="C899" s="64" t="s">
        <v>23</v>
      </c>
      <c r="D899" s="11" t="s">
        <v>263</v>
      </c>
      <c r="E899" s="10">
        <v>811798</v>
      </c>
      <c r="F899" s="11">
        <v>811798</v>
      </c>
      <c r="G899" s="11">
        <v>660900</v>
      </c>
      <c r="H899" s="11">
        <v>0</v>
      </c>
      <c r="I899" s="11">
        <v>0</v>
      </c>
      <c r="J899" s="10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0">
        <f t="shared" si="153"/>
        <v>811798</v>
      </c>
    </row>
    <row r="900" spans="1:16" ht="38.25" hidden="1" customHeight="1">
      <c r="A900" s="6" t="s">
        <v>195</v>
      </c>
      <c r="B900" s="6" t="s">
        <v>196</v>
      </c>
      <c r="C900" s="8"/>
      <c r="D900" s="9" t="s">
        <v>197</v>
      </c>
      <c r="E900" s="10"/>
      <c r="F900" s="11"/>
      <c r="G900" s="11"/>
      <c r="H900" s="11"/>
      <c r="I900" s="11"/>
      <c r="J900" s="10"/>
      <c r="K900" s="11"/>
      <c r="L900" s="11"/>
      <c r="M900" s="11"/>
      <c r="N900" s="11"/>
      <c r="O900" s="11"/>
      <c r="P900" s="10">
        <f t="shared" si="153"/>
        <v>0</v>
      </c>
    </row>
    <row r="901" spans="1:16" ht="12.75" hidden="1" customHeight="1">
      <c r="A901" s="12" t="s">
        <v>198</v>
      </c>
      <c r="B901" s="12" t="s">
        <v>199</v>
      </c>
      <c r="C901" s="13" t="s">
        <v>200</v>
      </c>
      <c r="D901" s="65" t="s">
        <v>201</v>
      </c>
      <c r="E901" s="15"/>
      <c r="F901" s="14"/>
      <c r="G901" s="14"/>
      <c r="H901" s="14"/>
      <c r="I901" s="14"/>
      <c r="J901" s="15"/>
      <c r="K901" s="14"/>
      <c r="L901" s="14"/>
      <c r="M901" s="14"/>
      <c r="N901" s="14"/>
      <c r="O901" s="14"/>
      <c r="P901" s="15">
        <f t="shared" si="153"/>
        <v>0</v>
      </c>
    </row>
    <row r="902" spans="1:16" ht="12.75" hidden="1" customHeight="1">
      <c r="A902" s="6" t="s">
        <v>128</v>
      </c>
      <c r="B902" s="6" t="s">
        <v>202</v>
      </c>
      <c r="C902" s="64" t="s">
        <v>129</v>
      </c>
      <c r="D902" s="9" t="s">
        <v>132</v>
      </c>
      <c r="E902" s="10"/>
      <c r="F902" s="11"/>
      <c r="G902" s="11"/>
      <c r="H902" s="11"/>
      <c r="I902" s="11"/>
      <c r="J902" s="10"/>
      <c r="K902" s="11"/>
      <c r="L902" s="11"/>
      <c r="M902" s="11"/>
      <c r="N902" s="11"/>
      <c r="O902" s="11"/>
      <c r="P902" s="10">
        <f t="shared" si="153"/>
        <v>0</v>
      </c>
    </row>
    <row r="903" spans="1:16" ht="63.75" hidden="1" customHeight="1">
      <c r="A903" s="6" t="s">
        <v>130</v>
      </c>
      <c r="B903" s="6" t="s">
        <v>29</v>
      </c>
      <c r="C903" s="64" t="s">
        <v>28</v>
      </c>
      <c r="D903" s="9" t="s">
        <v>203</v>
      </c>
      <c r="E903" s="10"/>
      <c r="F903" s="11"/>
      <c r="G903" s="11"/>
      <c r="H903" s="11"/>
      <c r="I903" s="11"/>
      <c r="J903" s="10"/>
      <c r="K903" s="11"/>
      <c r="L903" s="11"/>
      <c r="M903" s="11"/>
      <c r="N903" s="11"/>
      <c r="O903" s="11"/>
      <c r="P903" s="10">
        <f t="shared" si="153"/>
        <v>0</v>
      </c>
    </row>
    <row r="904" spans="1:16" ht="25.5" hidden="1" customHeight="1">
      <c r="A904" s="6"/>
      <c r="B904" s="6"/>
      <c r="C904" s="64"/>
      <c r="D904" s="46" t="s">
        <v>133</v>
      </c>
      <c r="E904" s="42">
        <f>F904+I904</f>
        <v>0</v>
      </c>
      <c r="F904" s="14"/>
      <c r="G904" s="14"/>
      <c r="H904" s="11"/>
      <c r="I904" s="11"/>
      <c r="J904" s="10"/>
      <c r="K904" s="11"/>
      <c r="L904" s="11"/>
      <c r="M904" s="11"/>
      <c r="N904" s="11"/>
      <c r="O904" s="11"/>
      <c r="P904" s="10">
        <f t="shared" si="153"/>
        <v>0</v>
      </c>
    </row>
    <row r="905" spans="1:16" ht="12.75" hidden="1" customHeight="1">
      <c r="A905" s="6" t="s">
        <v>130</v>
      </c>
      <c r="B905" s="6">
        <v>1020</v>
      </c>
      <c r="C905" s="39" t="s">
        <v>28</v>
      </c>
      <c r="D905" s="45" t="s">
        <v>134</v>
      </c>
      <c r="E905" s="42">
        <f>F905+I905</f>
        <v>0</v>
      </c>
      <c r="F905" s="14"/>
      <c r="G905" s="14"/>
      <c r="H905" s="14"/>
      <c r="I905" s="11"/>
      <c r="J905" s="10"/>
      <c r="K905" s="11"/>
      <c r="L905" s="11"/>
      <c r="M905" s="11"/>
      <c r="N905" s="11"/>
      <c r="O905" s="11"/>
      <c r="P905" s="10">
        <f t="shared" si="153"/>
        <v>0</v>
      </c>
    </row>
    <row r="906" spans="1:16" ht="51" hidden="1">
      <c r="A906" s="6" t="s">
        <v>143</v>
      </c>
      <c r="B906" s="6" t="s">
        <v>204</v>
      </c>
      <c r="C906" s="64" t="s">
        <v>184</v>
      </c>
      <c r="D906" s="9" t="s">
        <v>145</v>
      </c>
      <c r="E906" s="10">
        <v>2175864</v>
      </c>
      <c r="F906" s="11">
        <v>2175864</v>
      </c>
      <c r="G906" s="11">
        <v>1771200</v>
      </c>
      <c r="H906" s="11">
        <v>0</v>
      </c>
      <c r="I906" s="11">
        <v>0</v>
      </c>
      <c r="J906" s="10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0">
        <f t="shared" si="153"/>
        <v>2175864</v>
      </c>
    </row>
    <row r="907" spans="1:16" ht="12.75" hidden="1" customHeight="1">
      <c r="A907" s="6" t="s">
        <v>297</v>
      </c>
      <c r="B907" s="6">
        <v>2141</v>
      </c>
      <c r="C907" s="64" t="s">
        <v>281</v>
      </c>
      <c r="D907" s="9" t="s">
        <v>298</v>
      </c>
      <c r="E907" s="10">
        <v>50640</v>
      </c>
      <c r="F907" s="11">
        <v>50640</v>
      </c>
      <c r="G907" s="11">
        <v>0</v>
      </c>
      <c r="H907" s="11">
        <v>0</v>
      </c>
      <c r="I907" s="11">
        <v>0</v>
      </c>
      <c r="J907" s="10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0">
        <f t="shared" si="153"/>
        <v>50640</v>
      </c>
    </row>
    <row r="908" spans="1:16" ht="12.75" hidden="1" customHeight="1">
      <c r="A908" s="6"/>
      <c r="B908" s="6"/>
      <c r="C908" s="64"/>
      <c r="D908" s="11" t="s">
        <v>283</v>
      </c>
      <c r="E908" s="22">
        <v>50640</v>
      </c>
      <c r="F908" s="21">
        <v>50640</v>
      </c>
      <c r="G908" s="11"/>
      <c r="H908" s="11"/>
      <c r="I908" s="11"/>
      <c r="J908" s="10"/>
      <c r="K908" s="11"/>
      <c r="L908" s="11"/>
      <c r="M908" s="11"/>
      <c r="N908" s="11"/>
      <c r="O908" s="11"/>
      <c r="P908" s="22">
        <f t="shared" si="153"/>
        <v>50640</v>
      </c>
    </row>
    <row r="909" spans="1:16" ht="25.5" hidden="1">
      <c r="A909" s="6" t="s">
        <v>299</v>
      </c>
      <c r="B909" s="6">
        <v>2142</v>
      </c>
      <c r="C909" s="64" t="s">
        <v>281</v>
      </c>
      <c r="D909" s="9" t="s">
        <v>300</v>
      </c>
      <c r="E909" s="10">
        <v>42500</v>
      </c>
      <c r="F909" s="11">
        <v>42500</v>
      </c>
      <c r="G909" s="11">
        <v>0</v>
      </c>
      <c r="H909" s="11">
        <v>0</v>
      </c>
      <c r="I909" s="11">
        <v>0</v>
      </c>
      <c r="J909" s="10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0">
        <f t="shared" si="153"/>
        <v>42500</v>
      </c>
    </row>
    <row r="910" spans="1:16" hidden="1">
      <c r="A910" s="6"/>
      <c r="B910" s="6"/>
      <c r="C910" s="64"/>
      <c r="D910" s="11" t="s">
        <v>283</v>
      </c>
      <c r="E910" s="15">
        <v>42500</v>
      </c>
      <c r="F910" s="14">
        <v>42500</v>
      </c>
      <c r="G910" s="14"/>
      <c r="H910" s="14"/>
      <c r="I910" s="14"/>
      <c r="J910" s="15"/>
      <c r="K910" s="14"/>
      <c r="L910" s="14"/>
      <c r="M910" s="14"/>
      <c r="N910" s="14"/>
      <c r="O910" s="14"/>
      <c r="P910" s="22">
        <f t="shared" si="153"/>
        <v>42500</v>
      </c>
    </row>
    <row r="911" spans="1:16" ht="25.5" hidden="1">
      <c r="A911" s="6" t="s">
        <v>301</v>
      </c>
      <c r="B911" s="6">
        <v>2145</v>
      </c>
      <c r="C911" s="64" t="s">
        <v>281</v>
      </c>
      <c r="D911" s="11" t="s">
        <v>302</v>
      </c>
      <c r="E911" s="10">
        <v>50000</v>
      </c>
      <c r="F911" s="11">
        <v>50000</v>
      </c>
      <c r="G911" s="11">
        <v>0</v>
      </c>
      <c r="H911" s="11">
        <v>0</v>
      </c>
      <c r="I911" s="11">
        <v>0</v>
      </c>
      <c r="J911" s="10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0">
        <f t="shared" si="153"/>
        <v>50000</v>
      </c>
    </row>
    <row r="912" spans="1:16" ht="12.75" hidden="1" customHeight="1">
      <c r="A912" s="6"/>
      <c r="B912" s="6"/>
      <c r="C912" s="64"/>
      <c r="D912" s="11" t="s">
        <v>283</v>
      </c>
      <c r="E912" s="22">
        <v>50000</v>
      </c>
      <c r="F912" s="21">
        <v>50000</v>
      </c>
      <c r="G912" s="11"/>
      <c r="H912" s="11"/>
      <c r="I912" s="11"/>
      <c r="J912" s="10"/>
      <c r="K912" s="11"/>
      <c r="L912" s="11"/>
      <c r="M912" s="11"/>
      <c r="N912" s="11"/>
      <c r="O912" s="11"/>
      <c r="P912" s="22">
        <f t="shared" si="153"/>
        <v>50000</v>
      </c>
    </row>
    <row r="913" spans="1:16" ht="25.5" hidden="1">
      <c r="A913" s="6" t="s">
        <v>303</v>
      </c>
      <c r="B913" s="6">
        <v>2152</v>
      </c>
      <c r="C913" s="64" t="s">
        <v>281</v>
      </c>
      <c r="D913" s="11" t="s">
        <v>304</v>
      </c>
      <c r="E913" s="10">
        <v>3485058</v>
      </c>
      <c r="F913" s="11">
        <v>3485058</v>
      </c>
      <c r="G913" s="11">
        <v>0</v>
      </c>
      <c r="H913" s="11">
        <v>0</v>
      </c>
      <c r="I913" s="11">
        <v>0</v>
      </c>
      <c r="J913" s="10">
        <v>20000</v>
      </c>
      <c r="K913" s="11">
        <v>20000</v>
      </c>
      <c r="L913" s="11">
        <v>0</v>
      </c>
      <c r="M913" s="11">
        <v>0</v>
      </c>
      <c r="N913" s="11">
        <v>0</v>
      </c>
      <c r="O913" s="11">
        <v>20000</v>
      </c>
      <c r="P913" s="10">
        <f t="shared" si="153"/>
        <v>3505058</v>
      </c>
    </row>
    <row r="914" spans="1:16" hidden="1">
      <c r="A914" s="12"/>
      <c r="B914" s="12"/>
      <c r="C914" s="13"/>
      <c r="D914" s="11" t="s">
        <v>283</v>
      </c>
      <c r="E914" s="15">
        <v>3485058</v>
      </c>
      <c r="F914" s="14">
        <v>3485058</v>
      </c>
      <c r="G914" s="14">
        <v>0</v>
      </c>
      <c r="H914" s="14">
        <v>0</v>
      </c>
      <c r="I914" s="14">
        <v>0</v>
      </c>
      <c r="J914" s="15">
        <v>20000</v>
      </c>
      <c r="K914" s="14">
        <v>20000</v>
      </c>
      <c r="L914" s="14">
        <v>0</v>
      </c>
      <c r="M914" s="14">
        <v>0</v>
      </c>
      <c r="N914" s="14">
        <v>0</v>
      </c>
      <c r="O914" s="14">
        <v>20000</v>
      </c>
      <c r="P914" s="15">
        <f t="shared" si="153"/>
        <v>3505058</v>
      </c>
    </row>
    <row r="915" spans="1:16" ht="12.75" hidden="1" customHeight="1">
      <c r="A915" s="6" t="s">
        <v>185</v>
      </c>
      <c r="B915" s="6" t="s">
        <v>209</v>
      </c>
      <c r="C915" s="64" t="s">
        <v>105</v>
      </c>
      <c r="D915" s="9" t="s">
        <v>106</v>
      </c>
      <c r="E915" s="10">
        <v>0</v>
      </c>
      <c r="F915" s="11">
        <v>0</v>
      </c>
      <c r="G915" s="11">
        <v>0</v>
      </c>
      <c r="H915" s="11">
        <v>0</v>
      </c>
      <c r="I915" s="11">
        <v>0</v>
      </c>
      <c r="J915" s="10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0">
        <f t="shared" si="153"/>
        <v>0</v>
      </c>
    </row>
    <row r="916" spans="1:16" ht="38.25" hidden="1" customHeight="1">
      <c r="A916" s="6" t="s">
        <v>139</v>
      </c>
      <c r="B916" s="6">
        <v>3242</v>
      </c>
      <c r="C916" s="64" t="s">
        <v>36</v>
      </c>
      <c r="D916" s="9" t="s">
        <v>137</v>
      </c>
      <c r="E916" s="10">
        <v>935000</v>
      </c>
      <c r="F916" s="11">
        <v>935000</v>
      </c>
      <c r="G916" s="11">
        <v>0</v>
      </c>
      <c r="H916" s="11">
        <v>0</v>
      </c>
      <c r="I916" s="11">
        <v>0</v>
      </c>
      <c r="J916" s="10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0">
        <f t="shared" si="153"/>
        <v>935000</v>
      </c>
    </row>
    <row r="917" spans="1:16" hidden="1">
      <c r="A917" s="12"/>
      <c r="B917" s="12"/>
      <c r="C917" s="13"/>
      <c r="D917" s="65"/>
      <c r="E917" s="15"/>
      <c r="F917" s="14"/>
      <c r="G917" s="14">
        <v>0</v>
      </c>
      <c r="H917" s="14">
        <v>0</v>
      </c>
      <c r="I917" s="14">
        <v>0</v>
      </c>
      <c r="J917" s="15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5">
        <f t="shared" si="153"/>
        <v>0</v>
      </c>
    </row>
    <row r="918" spans="1:16" hidden="1">
      <c r="A918" s="6"/>
      <c r="B918" s="6"/>
      <c r="C918" s="64"/>
      <c r="D918" s="9"/>
      <c r="E918" s="10"/>
      <c r="F918" s="11"/>
      <c r="G918" s="11"/>
      <c r="H918" s="11"/>
      <c r="I918" s="11"/>
      <c r="J918" s="10"/>
      <c r="K918" s="11"/>
      <c r="L918" s="11"/>
      <c r="M918" s="11"/>
      <c r="N918" s="11"/>
      <c r="O918" s="11"/>
      <c r="P918" s="10">
        <f t="shared" si="153"/>
        <v>0</v>
      </c>
    </row>
    <row r="919" spans="1:16" hidden="1">
      <c r="A919" s="6"/>
      <c r="B919" s="6"/>
      <c r="C919" s="64"/>
      <c r="D919" s="9"/>
      <c r="E919" s="10"/>
      <c r="F919" s="11"/>
      <c r="G919" s="11"/>
      <c r="H919" s="11"/>
      <c r="I919" s="11"/>
      <c r="J919" s="10"/>
      <c r="K919" s="11"/>
      <c r="L919" s="11"/>
      <c r="M919" s="11"/>
      <c r="N919" s="11"/>
      <c r="O919" s="11"/>
      <c r="P919" s="10">
        <f t="shared" si="153"/>
        <v>0</v>
      </c>
    </row>
    <row r="920" spans="1:16" ht="28.5" hidden="1" customHeight="1">
      <c r="A920" s="6" t="s">
        <v>305</v>
      </c>
      <c r="B920" s="6">
        <v>4081</v>
      </c>
      <c r="C920" s="13" t="s">
        <v>144</v>
      </c>
      <c r="D920" s="11" t="s">
        <v>275</v>
      </c>
      <c r="E920" s="10">
        <v>9893068</v>
      </c>
      <c r="F920" s="11">
        <v>9893068</v>
      </c>
      <c r="G920" s="11">
        <v>6159510</v>
      </c>
      <c r="H920" s="11">
        <v>1197565</v>
      </c>
      <c r="I920" s="11">
        <v>0</v>
      </c>
      <c r="J920" s="10">
        <v>150000</v>
      </c>
      <c r="K920" s="11">
        <v>150000</v>
      </c>
      <c r="L920" s="11">
        <v>0</v>
      </c>
      <c r="M920" s="11">
        <v>0</v>
      </c>
      <c r="N920" s="11">
        <v>0</v>
      </c>
      <c r="O920" s="11">
        <v>150000</v>
      </c>
      <c r="P920" s="10">
        <f t="shared" si="153"/>
        <v>10043068</v>
      </c>
    </row>
    <row r="921" spans="1:16" hidden="1">
      <c r="A921" s="6"/>
      <c r="B921" s="6"/>
      <c r="C921" s="13"/>
      <c r="D921" s="45" t="s">
        <v>276</v>
      </c>
      <c r="E921" s="22">
        <v>9893068</v>
      </c>
      <c r="F921" s="21">
        <v>9893068</v>
      </c>
      <c r="G921" s="21">
        <v>6159510</v>
      </c>
      <c r="H921" s="21">
        <v>1197565</v>
      </c>
      <c r="I921" s="21">
        <v>0</v>
      </c>
      <c r="J921" s="22">
        <v>150000</v>
      </c>
      <c r="K921" s="21">
        <v>150000</v>
      </c>
      <c r="L921" s="21">
        <v>0</v>
      </c>
      <c r="M921" s="21">
        <v>0</v>
      </c>
      <c r="N921" s="21">
        <v>0</v>
      </c>
      <c r="O921" s="21">
        <v>150000</v>
      </c>
      <c r="P921" s="10">
        <f t="shared" si="153"/>
        <v>10043068</v>
      </c>
    </row>
    <row r="922" spans="1:16" hidden="1">
      <c r="A922" s="6"/>
      <c r="B922" s="6"/>
      <c r="C922" s="13"/>
      <c r="D922" s="45"/>
      <c r="E922" s="22"/>
      <c r="F922" s="21"/>
      <c r="G922" s="21"/>
      <c r="H922" s="21"/>
      <c r="I922" s="21"/>
      <c r="J922" s="22"/>
      <c r="K922" s="21"/>
      <c r="L922" s="21"/>
      <c r="M922" s="21"/>
      <c r="N922" s="21"/>
      <c r="O922" s="21"/>
      <c r="P922" s="22">
        <f t="shared" si="153"/>
        <v>0</v>
      </c>
    </row>
    <row r="923" spans="1:16" hidden="1">
      <c r="A923" s="12"/>
      <c r="B923" s="12"/>
      <c r="C923" s="13"/>
      <c r="D923" s="65"/>
      <c r="E923" s="15"/>
      <c r="F923" s="14"/>
      <c r="G923" s="14"/>
      <c r="H923" s="14"/>
      <c r="I923" s="14"/>
      <c r="J923" s="15"/>
      <c r="K923" s="14"/>
      <c r="L923" s="14"/>
      <c r="M923" s="14"/>
      <c r="N923" s="14"/>
      <c r="O923" s="14"/>
      <c r="P923" s="15">
        <f t="shared" si="153"/>
        <v>0</v>
      </c>
    </row>
    <row r="924" spans="1:16" ht="38.25" hidden="1">
      <c r="A924" s="6" t="s">
        <v>146</v>
      </c>
      <c r="B924" s="6">
        <v>5032</v>
      </c>
      <c r="C924" s="13" t="s">
        <v>49</v>
      </c>
      <c r="D924" s="9" t="s">
        <v>51</v>
      </c>
      <c r="E924" s="10">
        <v>2106783</v>
      </c>
      <c r="F924" s="11">
        <v>2106783</v>
      </c>
      <c r="G924" s="11">
        <v>0</v>
      </c>
      <c r="H924" s="11">
        <v>0</v>
      </c>
      <c r="I924" s="11">
        <v>0</v>
      </c>
      <c r="J924" s="10">
        <v>10000</v>
      </c>
      <c r="K924" s="11">
        <v>10000</v>
      </c>
      <c r="L924" s="11">
        <v>0</v>
      </c>
      <c r="M924" s="11">
        <v>0</v>
      </c>
      <c r="N924" s="11">
        <v>0</v>
      </c>
      <c r="O924" s="11">
        <v>10000</v>
      </c>
      <c r="P924" s="10">
        <f t="shared" si="153"/>
        <v>2116783</v>
      </c>
    </row>
    <row r="925" spans="1:16" hidden="1">
      <c r="A925" s="12"/>
      <c r="B925" s="12"/>
      <c r="C925" s="13"/>
      <c r="D925" s="45" t="s">
        <v>107</v>
      </c>
      <c r="E925" s="15">
        <v>2106783</v>
      </c>
      <c r="F925" s="14">
        <v>2106783</v>
      </c>
      <c r="G925" s="14">
        <v>0</v>
      </c>
      <c r="H925" s="14">
        <v>0</v>
      </c>
      <c r="I925" s="14">
        <v>0</v>
      </c>
      <c r="J925" s="15">
        <v>10000</v>
      </c>
      <c r="K925" s="14">
        <v>10000</v>
      </c>
      <c r="L925" s="14">
        <v>0</v>
      </c>
      <c r="M925" s="14">
        <v>0</v>
      </c>
      <c r="N925" s="14">
        <v>0</v>
      </c>
      <c r="O925" s="14">
        <v>10000</v>
      </c>
      <c r="P925" s="15">
        <f t="shared" si="153"/>
        <v>2116783</v>
      </c>
    </row>
    <row r="926" spans="1:16" hidden="1">
      <c r="A926" s="12"/>
      <c r="B926" s="12"/>
      <c r="C926" s="13"/>
      <c r="D926" s="45"/>
      <c r="E926" s="15"/>
      <c r="F926" s="14"/>
      <c r="G926" s="14">
        <v>0</v>
      </c>
      <c r="H926" s="14">
        <v>0</v>
      </c>
      <c r="I926" s="14">
        <v>0</v>
      </c>
      <c r="J926" s="15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5">
        <f t="shared" si="153"/>
        <v>0</v>
      </c>
    </row>
    <row r="927" spans="1:16" ht="31.5" hidden="1" customHeight="1">
      <c r="A927" s="6" t="s">
        <v>149</v>
      </c>
      <c r="B927" s="6">
        <v>6013</v>
      </c>
      <c r="C927" s="13" t="s">
        <v>54</v>
      </c>
      <c r="D927" s="9" t="s">
        <v>150</v>
      </c>
      <c r="E927" s="10">
        <v>650000</v>
      </c>
      <c r="F927" s="11">
        <v>650000</v>
      </c>
      <c r="G927" s="11">
        <v>0</v>
      </c>
      <c r="H927" s="11">
        <v>0</v>
      </c>
      <c r="I927" s="11">
        <v>0</v>
      </c>
      <c r="J927" s="10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0">
        <f t="shared" si="153"/>
        <v>650000</v>
      </c>
    </row>
    <row r="928" spans="1:16" ht="12.75" hidden="1" customHeight="1">
      <c r="A928" s="12"/>
      <c r="B928" s="12"/>
      <c r="C928" s="13"/>
      <c r="D928" s="45" t="s">
        <v>109</v>
      </c>
      <c r="E928" s="15">
        <v>650000</v>
      </c>
      <c r="F928" s="14">
        <v>650000</v>
      </c>
      <c r="G928" s="14">
        <v>0</v>
      </c>
      <c r="H928" s="14">
        <v>0</v>
      </c>
      <c r="I928" s="14">
        <v>0</v>
      </c>
      <c r="J928" s="15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5">
        <f t="shared" si="153"/>
        <v>650000</v>
      </c>
    </row>
    <row r="929" spans="1:16" ht="51" hidden="1" customHeight="1">
      <c r="A929" s="6" t="s">
        <v>147</v>
      </c>
      <c r="B929" s="6">
        <v>6020</v>
      </c>
      <c r="C929" s="13" t="s">
        <v>54</v>
      </c>
      <c r="D929" s="45" t="s">
        <v>148</v>
      </c>
      <c r="E929" s="10">
        <v>1952600</v>
      </c>
      <c r="F929" s="11">
        <v>1952600</v>
      </c>
      <c r="G929" s="11">
        <v>0</v>
      </c>
      <c r="H929" s="11">
        <v>0</v>
      </c>
      <c r="I929" s="11">
        <v>0</v>
      </c>
      <c r="J929" s="10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0">
        <f t="shared" si="153"/>
        <v>1952600</v>
      </c>
    </row>
    <row r="930" spans="1:16" hidden="1">
      <c r="A930" s="6"/>
      <c r="B930" s="6"/>
      <c r="C930" s="64"/>
      <c r="D930" s="45" t="s">
        <v>109</v>
      </c>
      <c r="E930" s="22">
        <v>1952600</v>
      </c>
      <c r="F930" s="21">
        <v>1952600</v>
      </c>
      <c r="G930" s="21">
        <v>0</v>
      </c>
      <c r="H930" s="21">
        <v>0</v>
      </c>
      <c r="I930" s="21">
        <v>0</v>
      </c>
      <c r="J930" s="22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2">
        <f t="shared" si="153"/>
        <v>1952600</v>
      </c>
    </row>
    <row r="931" spans="1:16" hidden="1">
      <c r="A931" s="6"/>
      <c r="B931" s="6"/>
      <c r="C931" s="64"/>
      <c r="D931" s="45"/>
      <c r="E931" s="22"/>
      <c r="F931" s="21"/>
      <c r="G931" s="21"/>
      <c r="H931" s="21"/>
      <c r="I931" s="21"/>
      <c r="J931" s="22"/>
      <c r="K931" s="21"/>
      <c r="L931" s="21"/>
      <c r="M931" s="21"/>
      <c r="N931" s="21"/>
      <c r="O931" s="21"/>
      <c r="P931" s="22">
        <f t="shared" si="153"/>
        <v>0</v>
      </c>
    </row>
    <row r="932" spans="1:16" ht="19.5" hidden="1" customHeight="1">
      <c r="A932" s="6" t="s">
        <v>151</v>
      </c>
      <c r="B932" s="6" t="s">
        <v>228</v>
      </c>
      <c r="C932" s="64" t="s">
        <v>54</v>
      </c>
      <c r="D932" s="9" t="s">
        <v>152</v>
      </c>
      <c r="E932" s="10">
        <v>6950000</v>
      </c>
      <c r="F932" s="11">
        <v>6950000</v>
      </c>
      <c r="G932" s="11">
        <v>0</v>
      </c>
      <c r="H932" s="11">
        <v>900000</v>
      </c>
      <c r="I932" s="11">
        <v>0</v>
      </c>
      <c r="J932" s="10">
        <v>3350369</v>
      </c>
      <c r="K932" s="11">
        <v>3350369</v>
      </c>
      <c r="L932" s="11">
        <v>0</v>
      </c>
      <c r="M932" s="11">
        <v>0</v>
      </c>
      <c r="N932" s="11">
        <v>0</v>
      </c>
      <c r="O932" s="11">
        <v>3350369</v>
      </c>
      <c r="P932" s="10">
        <f t="shared" si="153"/>
        <v>10300369</v>
      </c>
    </row>
    <row r="933" spans="1:16" hidden="1">
      <c r="A933" s="6"/>
      <c r="B933" s="6"/>
      <c r="C933" s="64"/>
      <c r="D933" s="45" t="s">
        <v>306</v>
      </c>
      <c r="E933" s="22">
        <v>0</v>
      </c>
      <c r="F933" s="21">
        <v>0</v>
      </c>
      <c r="G933" s="11">
        <v>0</v>
      </c>
      <c r="H933" s="11">
        <v>0</v>
      </c>
      <c r="I933" s="11">
        <v>0</v>
      </c>
      <c r="J933" s="10"/>
      <c r="K933" s="11"/>
      <c r="L933" s="11">
        <v>0</v>
      </c>
      <c r="M933" s="11">
        <v>0</v>
      </c>
      <c r="N933" s="11">
        <v>0</v>
      </c>
      <c r="O933" s="11">
        <v>0</v>
      </c>
      <c r="P933" s="22">
        <f t="shared" si="153"/>
        <v>0</v>
      </c>
    </row>
    <row r="934" spans="1:16" ht="38.25" hidden="1">
      <c r="A934" s="6" t="s">
        <v>187</v>
      </c>
      <c r="B934" s="6">
        <v>7363</v>
      </c>
      <c r="C934" s="13" t="s">
        <v>59</v>
      </c>
      <c r="D934" s="65" t="s">
        <v>234</v>
      </c>
      <c r="E934" s="10">
        <v>0</v>
      </c>
      <c r="F934" s="11">
        <v>0</v>
      </c>
      <c r="G934" s="11">
        <v>0</v>
      </c>
      <c r="H934" s="11">
        <v>0</v>
      </c>
      <c r="I934" s="11">
        <v>0</v>
      </c>
      <c r="J934" s="10">
        <v>1550000</v>
      </c>
      <c r="K934" s="11">
        <v>1550000</v>
      </c>
      <c r="L934" s="11">
        <v>0</v>
      </c>
      <c r="M934" s="11">
        <v>0</v>
      </c>
      <c r="N934" s="11">
        <v>0</v>
      </c>
      <c r="O934" s="11">
        <v>1550000</v>
      </c>
      <c r="P934" s="10">
        <f t="shared" si="153"/>
        <v>1550000</v>
      </c>
    </row>
    <row r="935" spans="1:16" ht="12" hidden="1" customHeight="1">
      <c r="A935" s="12"/>
      <c r="B935" s="12"/>
      <c r="C935" s="13"/>
      <c r="D935" s="65"/>
      <c r="E935" s="15">
        <v>0</v>
      </c>
      <c r="F935" s="14">
        <v>0</v>
      </c>
      <c r="G935" s="14">
        <v>0</v>
      </c>
      <c r="H935" s="14">
        <v>0</v>
      </c>
      <c r="I935" s="14">
        <v>0</v>
      </c>
      <c r="J935" s="15"/>
      <c r="K935" s="14"/>
      <c r="L935" s="14">
        <v>0</v>
      </c>
      <c r="M935" s="14">
        <v>0</v>
      </c>
      <c r="N935" s="14">
        <v>0</v>
      </c>
      <c r="O935" s="14">
        <v>0</v>
      </c>
      <c r="P935" s="15">
        <f t="shared" si="153"/>
        <v>0</v>
      </c>
    </row>
    <row r="936" spans="1:16" ht="12.75" hidden="1" customHeight="1">
      <c r="A936" s="6" t="s">
        <v>307</v>
      </c>
      <c r="B936" s="6">
        <v>7650</v>
      </c>
      <c r="C936" s="13" t="s">
        <v>59</v>
      </c>
      <c r="D936" s="9" t="s">
        <v>308</v>
      </c>
      <c r="E936" s="10">
        <v>0</v>
      </c>
      <c r="F936" s="11">
        <v>0</v>
      </c>
      <c r="G936" s="11">
        <v>0</v>
      </c>
      <c r="H936" s="11">
        <v>0</v>
      </c>
      <c r="I936" s="11">
        <v>0</v>
      </c>
      <c r="J936" s="10">
        <v>450000</v>
      </c>
      <c r="K936" s="11">
        <v>450000</v>
      </c>
      <c r="L936" s="11">
        <v>0</v>
      </c>
      <c r="M936" s="11">
        <v>0</v>
      </c>
      <c r="N936" s="11">
        <v>0</v>
      </c>
      <c r="O936" s="11">
        <v>450000</v>
      </c>
      <c r="P936" s="10">
        <f t="shared" si="153"/>
        <v>450000</v>
      </c>
    </row>
    <row r="937" spans="1:16" ht="12.75" hidden="1" customHeight="1">
      <c r="A937" s="6" t="s">
        <v>309</v>
      </c>
      <c r="B937" s="6">
        <v>7660</v>
      </c>
      <c r="C937" s="64" t="s">
        <v>59</v>
      </c>
      <c r="D937" s="9" t="s">
        <v>310</v>
      </c>
      <c r="E937" s="15">
        <v>0</v>
      </c>
      <c r="F937" s="14">
        <v>0</v>
      </c>
      <c r="G937" s="14">
        <v>0</v>
      </c>
      <c r="H937" s="14">
        <v>0</v>
      </c>
      <c r="I937" s="14">
        <v>0</v>
      </c>
      <c r="J937" s="15">
        <v>200000</v>
      </c>
      <c r="K937" s="14">
        <v>200000</v>
      </c>
      <c r="L937" s="14">
        <v>0</v>
      </c>
      <c r="M937" s="14">
        <v>0</v>
      </c>
      <c r="N937" s="14">
        <v>0</v>
      </c>
      <c r="O937" s="14">
        <v>200000</v>
      </c>
      <c r="P937" s="15">
        <f t="shared" si="153"/>
        <v>200000</v>
      </c>
    </row>
    <row r="938" spans="1:16" ht="12.75" hidden="1" customHeight="1">
      <c r="A938" s="6"/>
      <c r="B938" s="6"/>
      <c r="C938" s="64"/>
      <c r="D938" s="9"/>
      <c r="E938" s="10"/>
      <c r="F938" s="11"/>
      <c r="G938" s="11"/>
      <c r="H938" s="11"/>
      <c r="I938" s="11"/>
      <c r="J938" s="10"/>
      <c r="K938" s="11"/>
      <c r="L938" s="11"/>
      <c r="M938" s="11"/>
      <c r="N938" s="11"/>
      <c r="O938" s="11"/>
      <c r="P938" s="10">
        <f t="shared" si="153"/>
        <v>0</v>
      </c>
    </row>
    <row r="939" spans="1:16" ht="89.25" hidden="1" customHeight="1">
      <c r="A939" s="6"/>
      <c r="B939" s="6"/>
      <c r="C939" s="64"/>
      <c r="D939" s="45"/>
      <c r="E939" s="22"/>
      <c r="F939" s="21"/>
      <c r="G939" s="21"/>
      <c r="H939" s="21"/>
      <c r="I939" s="21"/>
      <c r="J939" s="22"/>
      <c r="K939" s="21"/>
      <c r="L939" s="21"/>
      <c r="M939" s="21"/>
      <c r="N939" s="21"/>
      <c r="O939" s="21"/>
      <c r="P939" s="22">
        <f t="shared" si="153"/>
        <v>0</v>
      </c>
    </row>
    <row r="940" spans="1:16" ht="25.5" hidden="1" customHeight="1">
      <c r="A940" s="6"/>
      <c r="B940" s="6"/>
      <c r="C940" s="64"/>
      <c r="D940" s="45"/>
      <c r="E940" s="22"/>
      <c r="F940" s="21"/>
      <c r="G940" s="21"/>
      <c r="H940" s="21"/>
      <c r="I940" s="21"/>
      <c r="J940" s="22"/>
      <c r="K940" s="21"/>
      <c r="L940" s="21"/>
      <c r="M940" s="21"/>
      <c r="N940" s="21"/>
      <c r="O940" s="21"/>
      <c r="P940" s="22">
        <f t="shared" si="153"/>
        <v>0</v>
      </c>
    </row>
    <row r="941" spans="1:16" ht="25.5" hidden="1" customHeight="1">
      <c r="A941" s="6" t="s">
        <v>191</v>
      </c>
      <c r="B941" s="6">
        <v>7691</v>
      </c>
      <c r="C941" s="64" t="s">
        <v>59</v>
      </c>
      <c r="D941" s="9" t="s">
        <v>244</v>
      </c>
      <c r="E941" s="10">
        <v>0</v>
      </c>
      <c r="F941" s="11">
        <v>0</v>
      </c>
      <c r="G941" s="11">
        <v>0</v>
      </c>
      <c r="H941" s="11">
        <v>0</v>
      </c>
      <c r="I941" s="11">
        <v>0</v>
      </c>
      <c r="J941" s="10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0">
        <f t="shared" si="153"/>
        <v>0</v>
      </c>
    </row>
    <row r="942" spans="1:16" ht="25.5" hidden="1">
      <c r="A942" s="6" t="s">
        <v>311</v>
      </c>
      <c r="B942" s="6">
        <v>7693</v>
      </c>
      <c r="C942" s="64" t="s">
        <v>59</v>
      </c>
      <c r="D942" s="9" t="s">
        <v>312</v>
      </c>
      <c r="E942" s="10">
        <v>160000</v>
      </c>
      <c r="F942" s="11">
        <v>90000</v>
      </c>
      <c r="G942" s="11">
        <v>0</v>
      </c>
      <c r="H942" s="11">
        <v>0</v>
      </c>
      <c r="I942" s="11">
        <v>70000</v>
      </c>
      <c r="J942" s="10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0">
        <f t="shared" si="153"/>
        <v>160000</v>
      </c>
    </row>
    <row r="943" spans="1:16" ht="12" hidden="1" customHeight="1">
      <c r="A943" s="6" t="s">
        <v>169</v>
      </c>
      <c r="B943" s="6">
        <v>8311</v>
      </c>
      <c r="C943" s="13" t="s">
        <v>79</v>
      </c>
      <c r="D943" s="9" t="s">
        <v>90</v>
      </c>
      <c r="E943" s="10">
        <v>0</v>
      </c>
      <c r="F943" s="11">
        <v>0</v>
      </c>
      <c r="G943" s="11">
        <v>0</v>
      </c>
      <c r="H943" s="11">
        <v>0</v>
      </c>
      <c r="I943" s="11">
        <v>0</v>
      </c>
      <c r="J943" s="10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0">
        <f t="shared" si="153"/>
        <v>0</v>
      </c>
    </row>
    <row r="944" spans="1:16" ht="12.75" hidden="1" customHeight="1">
      <c r="A944" s="12"/>
      <c r="B944" s="12"/>
      <c r="C944" s="13"/>
      <c r="D944" s="65"/>
      <c r="E944" s="15"/>
      <c r="F944" s="14"/>
      <c r="G944" s="14"/>
      <c r="H944" s="14"/>
      <c r="I944" s="14"/>
      <c r="J944" s="15"/>
      <c r="K944" s="14"/>
      <c r="L944" s="14"/>
      <c r="M944" s="14"/>
      <c r="N944" s="14"/>
      <c r="O944" s="14"/>
      <c r="P944" s="15">
        <f t="shared" si="153"/>
        <v>0</v>
      </c>
    </row>
    <row r="945" spans="1:16" ht="25.5" hidden="1">
      <c r="A945" s="6" t="s">
        <v>170</v>
      </c>
      <c r="B945" s="6" t="s">
        <v>249</v>
      </c>
      <c r="C945" s="64" t="s">
        <v>171</v>
      </c>
      <c r="D945" s="9" t="s">
        <v>172</v>
      </c>
      <c r="E945" s="10">
        <v>0</v>
      </c>
      <c r="F945" s="11">
        <v>0</v>
      </c>
      <c r="G945" s="11">
        <v>0</v>
      </c>
      <c r="H945" s="11">
        <v>0</v>
      </c>
      <c r="I945" s="11">
        <v>0</v>
      </c>
      <c r="J945" s="10">
        <v>160000</v>
      </c>
      <c r="K945" s="11">
        <v>0</v>
      </c>
      <c r="L945" s="11">
        <v>160000</v>
      </c>
      <c r="M945" s="11">
        <v>0</v>
      </c>
      <c r="N945" s="11">
        <v>0</v>
      </c>
      <c r="O945" s="11">
        <v>0</v>
      </c>
      <c r="P945" s="10">
        <f t="shared" si="153"/>
        <v>160000</v>
      </c>
    </row>
    <row r="946" spans="1:16" ht="76.5" hidden="1" customHeight="1">
      <c r="A946" s="6"/>
      <c r="B946" s="6"/>
      <c r="C946" s="64"/>
      <c r="D946" s="9"/>
      <c r="E946" s="10"/>
      <c r="F946" s="11"/>
      <c r="G946" s="11"/>
      <c r="H946" s="11"/>
      <c r="I946" s="11"/>
      <c r="J946" s="10"/>
      <c r="K946" s="11"/>
      <c r="L946" s="11"/>
      <c r="M946" s="11"/>
      <c r="N946" s="11"/>
      <c r="O946" s="11"/>
      <c r="P946" s="10">
        <f t="shared" si="153"/>
        <v>0</v>
      </c>
    </row>
    <row r="947" spans="1:16" ht="12.75" hidden="1" customHeight="1">
      <c r="A947" s="6"/>
      <c r="B947" s="6"/>
      <c r="C947" s="64"/>
      <c r="D947" s="45"/>
      <c r="E947" s="22"/>
      <c r="F947" s="21"/>
      <c r="G947" s="21"/>
      <c r="H947" s="21"/>
      <c r="I947" s="21"/>
      <c r="J947" s="22"/>
      <c r="K947" s="21"/>
      <c r="L947" s="21"/>
      <c r="M947" s="21"/>
      <c r="N947" s="21"/>
      <c r="O947" s="21"/>
      <c r="P947" s="10">
        <f t="shared" si="153"/>
        <v>0</v>
      </c>
    </row>
    <row r="948" spans="1:16" ht="38.25" hidden="1" customHeight="1">
      <c r="A948" s="6" t="s">
        <v>173</v>
      </c>
      <c r="B948" s="6" t="s">
        <v>251</v>
      </c>
      <c r="C948" s="64" t="s">
        <v>114</v>
      </c>
      <c r="D948" s="9" t="s">
        <v>252</v>
      </c>
      <c r="E948" s="10">
        <v>1218300</v>
      </c>
      <c r="F948" s="11">
        <v>1218300</v>
      </c>
      <c r="G948" s="11">
        <v>0</v>
      </c>
      <c r="H948" s="11">
        <v>0</v>
      </c>
      <c r="I948" s="11">
        <v>0</v>
      </c>
      <c r="J948" s="10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0">
        <f t="shared" si="153"/>
        <v>1218300</v>
      </c>
    </row>
    <row r="949" spans="1:16" ht="76.5" hidden="1">
      <c r="A949" s="6" t="s">
        <v>284</v>
      </c>
      <c r="B949" s="6">
        <v>9730</v>
      </c>
      <c r="C949" s="64" t="s">
        <v>114</v>
      </c>
      <c r="D949" s="11" t="s">
        <v>285</v>
      </c>
      <c r="E949" s="10">
        <v>0</v>
      </c>
      <c r="F949" s="11">
        <v>0</v>
      </c>
      <c r="G949" s="11">
        <v>0</v>
      </c>
      <c r="H949" s="11">
        <v>0</v>
      </c>
      <c r="I949" s="11">
        <v>0</v>
      </c>
      <c r="J949" s="10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0">
        <f t="shared" si="153"/>
        <v>0</v>
      </c>
    </row>
    <row r="950" spans="1:16" hidden="1">
      <c r="A950" s="6" t="s">
        <v>253</v>
      </c>
      <c r="B950" s="6" t="s">
        <v>254</v>
      </c>
      <c r="C950" s="64" t="s">
        <v>114</v>
      </c>
      <c r="D950" s="9" t="s">
        <v>255</v>
      </c>
      <c r="E950" s="10">
        <v>0</v>
      </c>
      <c r="F950" s="11">
        <v>0</v>
      </c>
      <c r="G950" s="11">
        <v>0</v>
      </c>
      <c r="H950" s="11">
        <v>0</v>
      </c>
      <c r="I950" s="11">
        <v>0</v>
      </c>
      <c r="J950" s="10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0">
        <f t="shared" si="153"/>
        <v>0</v>
      </c>
    </row>
    <row r="951" spans="1:16" ht="38.25" hidden="1">
      <c r="A951" s="6" t="s">
        <v>256</v>
      </c>
      <c r="B951" s="6" t="s">
        <v>257</v>
      </c>
      <c r="C951" s="64" t="s">
        <v>114</v>
      </c>
      <c r="D951" s="9" t="s">
        <v>258</v>
      </c>
      <c r="E951" s="10">
        <v>0</v>
      </c>
      <c r="F951" s="11">
        <v>0</v>
      </c>
      <c r="G951" s="11">
        <v>0</v>
      </c>
      <c r="H951" s="11">
        <v>0</v>
      </c>
      <c r="I951" s="11">
        <v>0</v>
      </c>
      <c r="J951" s="10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0">
        <f t="shared" si="153"/>
        <v>0</v>
      </c>
    </row>
    <row r="952" spans="1:16" hidden="1">
      <c r="A952" s="77" t="s">
        <v>264</v>
      </c>
      <c r="B952" s="77"/>
      <c r="C952" s="78"/>
      <c r="D952" s="79" t="s">
        <v>266</v>
      </c>
      <c r="E952" s="79">
        <f t="shared" ref="E952:O952" si="154">E953</f>
        <v>44929432</v>
      </c>
      <c r="F952" s="79">
        <f t="shared" si="154"/>
        <v>44929432</v>
      </c>
      <c r="G952" s="79">
        <f t="shared" si="154"/>
        <v>28859343</v>
      </c>
      <c r="H952" s="79">
        <f t="shared" si="154"/>
        <v>4226184</v>
      </c>
      <c r="I952" s="79">
        <f t="shared" si="154"/>
        <v>0</v>
      </c>
      <c r="J952" s="79">
        <f t="shared" si="154"/>
        <v>336168</v>
      </c>
      <c r="K952" s="79">
        <f t="shared" si="154"/>
        <v>200000</v>
      </c>
      <c r="L952" s="79">
        <f t="shared" si="154"/>
        <v>136168</v>
      </c>
      <c r="M952" s="79">
        <f t="shared" si="154"/>
        <v>0</v>
      </c>
      <c r="N952" s="79">
        <f t="shared" si="154"/>
        <v>0</v>
      </c>
      <c r="O952" s="79">
        <f t="shared" si="154"/>
        <v>200000</v>
      </c>
      <c r="P952" s="79">
        <f t="shared" si="153"/>
        <v>45265600</v>
      </c>
    </row>
    <row r="953" spans="1:16" ht="25.5" hidden="1">
      <c r="A953" s="77" t="s">
        <v>265</v>
      </c>
      <c r="B953" s="77"/>
      <c r="C953" s="78"/>
      <c r="D953" s="79" t="s">
        <v>267</v>
      </c>
      <c r="E953" s="79">
        <f>F953+I953</f>
        <v>44929432</v>
      </c>
      <c r="F953" s="79">
        <f>F954+F955+F957+F958+F959+F960</f>
        <v>44929432</v>
      </c>
      <c r="G953" s="79">
        <f t="shared" ref="G953:O953" si="155">G954+G955+G957+G958+G959</f>
        <v>28859343</v>
      </c>
      <c r="H953" s="79">
        <f t="shared" si="155"/>
        <v>4226184</v>
      </c>
      <c r="I953" s="79">
        <f t="shared" si="155"/>
        <v>0</v>
      </c>
      <c r="J953" s="79">
        <f t="shared" si="155"/>
        <v>336168</v>
      </c>
      <c r="K953" s="79">
        <f t="shared" si="155"/>
        <v>200000</v>
      </c>
      <c r="L953" s="79">
        <f t="shared" si="155"/>
        <v>136168</v>
      </c>
      <c r="M953" s="79">
        <f t="shared" si="155"/>
        <v>0</v>
      </c>
      <c r="N953" s="79">
        <f t="shared" si="155"/>
        <v>0</v>
      </c>
      <c r="O953" s="79">
        <f t="shared" si="155"/>
        <v>200000</v>
      </c>
      <c r="P953" s="79">
        <f t="shared" si="153"/>
        <v>45265600</v>
      </c>
    </row>
    <row r="954" spans="1:16" hidden="1">
      <c r="A954" s="6" t="s">
        <v>268</v>
      </c>
      <c r="B954" s="6">
        <v>1010</v>
      </c>
      <c r="C954" s="64" t="s">
        <v>129</v>
      </c>
      <c r="D954" s="9" t="s">
        <v>132</v>
      </c>
      <c r="E954" s="10">
        <v>5751000</v>
      </c>
      <c r="F954" s="11">
        <v>5751000</v>
      </c>
      <c r="G954" s="11">
        <v>3423411</v>
      </c>
      <c r="H954" s="11">
        <v>813784</v>
      </c>
      <c r="I954" s="11">
        <v>0</v>
      </c>
      <c r="J954" s="10">
        <v>186168</v>
      </c>
      <c r="K954" s="11">
        <v>50000</v>
      </c>
      <c r="L954" s="11">
        <v>136168</v>
      </c>
      <c r="M954" s="11">
        <v>0</v>
      </c>
      <c r="N954" s="11">
        <v>0</v>
      </c>
      <c r="O954" s="11">
        <v>50000</v>
      </c>
      <c r="P954" s="10">
        <f t="shared" si="153"/>
        <v>5937168</v>
      </c>
    </row>
    <row r="955" spans="1:16" ht="63.75" hidden="1">
      <c r="A955" s="6" t="s">
        <v>269</v>
      </c>
      <c r="B955" s="6" t="s">
        <v>29</v>
      </c>
      <c r="C955" s="64" t="s">
        <v>28</v>
      </c>
      <c r="D955" s="9" t="s">
        <v>203</v>
      </c>
      <c r="E955" s="10">
        <v>36568312</v>
      </c>
      <c r="F955" s="11">
        <v>36568312</v>
      </c>
      <c r="G955" s="11">
        <v>23956372</v>
      </c>
      <c r="H955" s="11">
        <v>3412400</v>
      </c>
      <c r="I955" s="11">
        <v>0</v>
      </c>
      <c r="J955" s="10">
        <v>150000</v>
      </c>
      <c r="K955" s="11">
        <v>150000</v>
      </c>
      <c r="L955" s="11">
        <v>0</v>
      </c>
      <c r="M955" s="11">
        <v>0</v>
      </c>
      <c r="N955" s="11">
        <v>0</v>
      </c>
      <c r="O955" s="11">
        <v>150000</v>
      </c>
      <c r="P955" s="10">
        <f t="shared" si="153"/>
        <v>36718312</v>
      </c>
    </row>
    <row r="956" spans="1:16" ht="25.5" hidden="1">
      <c r="A956" s="6"/>
      <c r="B956" s="6"/>
      <c r="C956" s="64"/>
      <c r="D956" s="46" t="s">
        <v>133</v>
      </c>
      <c r="E956" s="42">
        <v>17998100</v>
      </c>
      <c r="F956" s="14">
        <v>0</v>
      </c>
      <c r="G956" s="14">
        <v>17998100</v>
      </c>
      <c r="H956" s="11">
        <v>0</v>
      </c>
      <c r="I956" s="11">
        <v>0</v>
      </c>
      <c r="J956" s="10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0">
        <f t="shared" si="153"/>
        <v>17998100</v>
      </c>
    </row>
    <row r="957" spans="1:16" ht="25.5" hidden="1">
      <c r="A957" s="6" t="s">
        <v>286</v>
      </c>
      <c r="B957" s="6">
        <v>1150</v>
      </c>
      <c r="C957" s="64" t="s">
        <v>31</v>
      </c>
      <c r="D957" s="45" t="s">
        <v>287</v>
      </c>
      <c r="E957" s="41">
        <v>285700</v>
      </c>
      <c r="F957" s="11">
        <v>285700</v>
      </c>
      <c r="G957" s="11">
        <v>230060</v>
      </c>
      <c r="H957" s="11">
        <v>0</v>
      </c>
      <c r="I957" s="11">
        <v>0</v>
      </c>
      <c r="J957" s="10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0">
        <f t="shared" si="153"/>
        <v>285700</v>
      </c>
    </row>
    <row r="958" spans="1:16" ht="25.5" hidden="1">
      <c r="A958" s="12" t="s">
        <v>271</v>
      </c>
      <c r="B958" s="20">
        <v>1161</v>
      </c>
      <c r="C958" s="68" t="s">
        <v>31</v>
      </c>
      <c r="D958" s="21" t="s">
        <v>273</v>
      </c>
      <c r="E958" s="22">
        <v>1721800</v>
      </c>
      <c r="F958" s="21">
        <v>1721800</v>
      </c>
      <c r="G958" s="21">
        <v>1249500</v>
      </c>
      <c r="H958" s="11">
        <v>0</v>
      </c>
      <c r="I958" s="11">
        <v>0</v>
      </c>
      <c r="J958" s="10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0">
        <f t="shared" si="153"/>
        <v>1721800</v>
      </c>
    </row>
    <row r="959" spans="1:16" hidden="1">
      <c r="A959" s="12" t="s">
        <v>272</v>
      </c>
      <c r="B959" s="12" t="s">
        <v>208</v>
      </c>
      <c r="C959" s="13" t="s">
        <v>31</v>
      </c>
      <c r="D959" s="65" t="s">
        <v>136</v>
      </c>
      <c r="E959" s="22">
        <v>592620</v>
      </c>
      <c r="F959" s="21">
        <v>592620</v>
      </c>
      <c r="G959" s="11">
        <v>0</v>
      </c>
      <c r="H959" s="11">
        <v>0</v>
      </c>
      <c r="I959" s="11">
        <v>0</v>
      </c>
      <c r="J959" s="10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0">
        <f t="shared" si="153"/>
        <v>592620</v>
      </c>
    </row>
    <row r="960" spans="1:16" ht="66" hidden="1" customHeight="1">
      <c r="A960" s="12" t="s">
        <v>314</v>
      </c>
      <c r="B960" s="12">
        <v>3140</v>
      </c>
      <c r="C960" s="84">
        <v>1040</v>
      </c>
      <c r="D960" s="65" t="s">
        <v>315</v>
      </c>
      <c r="E960" s="22">
        <v>10000</v>
      </c>
      <c r="F960" s="21">
        <v>10000</v>
      </c>
      <c r="G960" s="11">
        <v>0</v>
      </c>
      <c r="H960" s="11">
        <v>0</v>
      </c>
      <c r="I960" s="11">
        <v>0</v>
      </c>
      <c r="J960" s="10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0">
        <f t="shared" si="153"/>
        <v>10000</v>
      </c>
    </row>
    <row r="961" spans="1:16" hidden="1">
      <c r="A961" s="80"/>
      <c r="B961" s="81" t="s">
        <v>93</v>
      </c>
      <c r="C961" s="82"/>
      <c r="D961" s="83" t="s">
        <v>293</v>
      </c>
      <c r="E961" s="83">
        <f t="shared" ref="E961:O961" si="156">E896+E952</f>
        <v>95392509</v>
      </c>
      <c r="F961" s="83">
        <f t="shared" si="156"/>
        <v>95322509</v>
      </c>
      <c r="G961" s="83">
        <f t="shared" si="156"/>
        <v>51506253</v>
      </c>
      <c r="H961" s="83">
        <f t="shared" si="156"/>
        <v>7352749</v>
      </c>
      <c r="I961" s="83">
        <f t="shared" si="156"/>
        <v>70000</v>
      </c>
      <c r="J961" s="83">
        <f t="shared" si="156"/>
        <v>6361537</v>
      </c>
      <c r="K961" s="83">
        <f t="shared" si="156"/>
        <v>6030369</v>
      </c>
      <c r="L961" s="83">
        <f t="shared" si="156"/>
        <v>331168</v>
      </c>
      <c r="M961" s="83">
        <f t="shared" si="156"/>
        <v>0</v>
      </c>
      <c r="N961" s="83">
        <f t="shared" si="156"/>
        <v>0</v>
      </c>
      <c r="O961" s="83">
        <f t="shared" si="156"/>
        <v>6030369</v>
      </c>
      <c r="P961" s="83">
        <f t="shared" si="153"/>
        <v>101754046</v>
      </c>
    </row>
    <row r="962" spans="1:16" hidden="1"/>
    <row r="963" spans="1:16" hidden="1"/>
    <row r="964" spans="1:16" hidden="1">
      <c r="B964" s="87" t="s">
        <v>313</v>
      </c>
      <c r="C964" s="88"/>
      <c r="D964" s="88"/>
      <c r="E964" s="88"/>
      <c r="F964" s="88"/>
      <c r="G964" s="88"/>
      <c r="H964" s="88"/>
      <c r="I964" s="87" t="s">
        <v>178</v>
      </c>
    </row>
    <row r="965" spans="1:16">
      <c r="B965" s="88"/>
      <c r="C965" s="88"/>
      <c r="D965" s="88"/>
      <c r="E965" s="88"/>
      <c r="F965" s="88"/>
      <c r="G965" s="88"/>
      <c r="H965" s="88"/>
      <c r="I965" s="88"/>
    </row>
    <row r="966" spans="1:16">
      <c r="A966" t="s">
        <v>193</v>
      </c>
      <c r="M966" s="91" t="s">
        <v>317</v>
      </c>
      <c r="N966" s="91"/>
      <c r="O966" s="91"/>
      <c r="P966" s="91"/>
    </row>
    <row r="967" spans="1:16">
      <c r="M967" s="91"/>
      <c r="N967" s="91"/>
      <c r="O967" s="91"/>
      <c r="P967" s="91"/>
    </row>
    <row r="968" spans="1:16" ht="30.75" customHeight="1">
      <c r="M968" s="91"/>
      <c r="N968" s="91"/>
      <c r="O968" s="91"/>
      <c r="P968" s="91"/>
    </row>
    <row r="969" spans="1:16" ht="27.75" customHeight="1">
      <c r="M969" s="91"/>
      <c r="N969" s="91"/>
      <c r="O969" s="91"/>
      <c r="P969" s="91"/>
    </row>
    <row r="970" spans="1:16">
      <c r="A970" s="92" t="s">
        <v>2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</row>
    <row r="971" spans="1:16">
      <c r="A971" s="92" t="s">
        <v>296</v>
      </c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</row>
    <row r="972" spans="1:16" ht="15.75">
      <c r="A972" s="102" t="s">
        <v>322</v>
      </c>
      <c r="B972" s="102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</row>
    <row r="973" spans="1:16" ht="15.75">
      <c r="A973" s="104" t="s">
        <v>321</v>
      </c>
      <c r="B973" s="104"/>
      <c r="P973" s="1" t="s">
        <v>4</v>
      </c>
    </row>
    <row r="974" spans="1:16">
      <c r="A974" s="94" t="s">
        <v>290</v>
      </c>
      <c r="B974" s="94" t="s">
        <v>289</v>
      </c>
      <c r="C974" s="94" t="s">
        <v>291</v>
      </c>
      <c r="D974" s="95" t="s">
        <v>292</v>
      </c>
      <c r="E974" s="95" t="s">
        <v>9</v>
      </c>
      <c r="F974" s="95"/>
      <c r="G974" s="95"/>
      <c r="H974" s="95"/>
      <c r="I974" s="95"/>
      <c r="J974" s="95" t="s">
        <v>16</v>
      </c>
      <c r="K974" s="95"/>
      <c r="L974" s="95"/>
      <c r="M974" s="95"/>
      <c r="N974" s="95"/>
      <c r="O974" s="95"/>
      <c r="P974" s="96" t="s">
        <v>194</v>
      </c>
    </row>
    <row r="975" spans="1:16">
      <c r="A975" s="95"/>
      <c r="B975" s="95"/>
      <c r="C975" s="95"/>
      <c r="D975" s="95"/>
      <c r="E975" s="96" t="s">
        <v>293</v>
      </c>
      <c r="F975" s="95" t="s">
        <v>11</v>
      </c>
      <c r="G975" s="95" t="s">
        <v>12</v>
      </c>
      <c r="H975" s="95"/>
      <c r="I975" s="95" t="s">
        <v>15</v>
      </c>
      <c r="J975" s="96" t="s">
        <v>293</v>
      </c>
      <c r="K975" s="95" t="s">
        <v>294</v>
      </c>
      <c r="L975" s="95" t="s">
        <v>11</v>
      </c>
      <c r="M975" s="97" t="s">
        <v>12</v>
      </c>
      <c r="N975" s="98"/>
      <c r="O975" s="99" t="s">
        <v>295</v>
      </c>
      <c r="P975" s="95"/>
    </row>
    <row r="976" spans="1:16">
      <c r="A976" s="95"/>
      <c r="B976" s="95"/>
      <c r="C976" s="95"/>
      <c r="D976" s="95"/>
      <c r="E976" s="95"/>
      <c r="F976" s="95"/>
      <c r="G976" s="95" t="s">
        <v>13</v>
      </c>
      <c r="H976" s="95" t="s">
        <v>14</v>
      </c>
      <c r="I976" s="95"/>
      <c r="J976" s="95"/>
      <c r="K976" s="95"/>
      <c r="L976" s="95"/>
      <c r="M976" s="95" t="s">
        <v>13</v>
      </c>
      <c r="N976" s="95" t="s">
        <v>14</v>
      </c>
      <c r="O976" s="100"/>
      <c r="P976" s="95"/>
    </row>
    <row r="977" spans="1:16" ht="24.75" customHeight="1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101"/>
      <c r="P977" s="95"/>
    </row>
    <row r="978" spans="1:16">
      <c r="A978" s="85">
        <v>1</v>
      </c>
      <c r="B978" s="85">
        <v>2</v>
      </c>
      <c r="C978" s="85">
        <v>3</v>
      </c>
      <c r="D978" s="85">
        <v>4</v>
      </c>
      <c r="E978" s="86">
        <v>5</v>
      </c>
      <c r="F978" s="85">
        <v>6</v>
      </c>
      <c r="G978" s="85">
        <v>7</v>
      </c>
      <c r="H978" s="85">
        <v>8</v>
      </c>
      <c r="I978" s="85">
        <v>9</v>
      </c>
      <c r="J978" s="86">
        <v>10</v>
      </c>
      <c r="K978" s="85">
        <v>11</v>
      </c>
      <c r="L978" s="85">
        <v>12</v>
      </c>
      <c r="M978" s="85">
        <v>13</v>
      </c>
      <c r="N978" s="85">
        <v>14</v>
      </c>
      <c r="O978" s="85">
        <v>15</v>
      </c>
      <c r="P978" s="86">
        <v>16</v>
      </c>
    </row>
    <row r="979" spans="1:16">
      <c r="A979" s="6" t="s">
        <v>124</v>
      </c>
      <c r="B979" s="7"/>
      <c r="C979" s="8"/>
      <c r="D979" s="45" t="s">
        <v>182</v>
      </c>
      <c r="E979" s="10">
        <f>E981+E982+E989+E990+E992+E994+E996+E998+E1000+E1004+E1008+E1011+E1016+E1019+E1021+E1022+E1026+E1029+E1030+E1032+E1035+E1036+E1037+E1038+E1013</f>
        <v>53855005</v>
      </c>
      <c r="F979" s="10">
        <f>F981+F982+F989+F990+F992+F994+F996+F998+F1000+F1004+F1008+F1011+F1016+F1019+F1021+F1022+F1026+F1029+F1030+F1032+F1035+F1036+F1037+F1038+F1013</f>
        <v>53785005</v>
      </c>
      <c r="G979" s="10">
        <f t="shared" ref="G979:P979" si="157">G981+G982+G989+G990+G992+G994+G996+G998+G1000+G1004+G1008+G1011+G1016+G1019+G1021+G1022+G1026+G1029+G1030+G1032+G1035+G1036+G1037+G1038</f>
        <v>22696086</v>
      </c>
      <c r="H979" s="10">
        <f t="shared" si="157"/>
        <v>3131565</v>
      </c>
      <c r="I979" s="10">
        <f t="shared" si="157"/>
        <v>70000</v>
      </c>
      <c r="J979" s="10">
        <f>J981+J982+J989+J990+J992+J994+J996+J998+J1000+J1004+J1008+J1011+J1016+J1019+J1021+J1022+J1026+J1029+J1030+J1032+J1035+J1036+J1037+J1038+J1018</f>
        <v>17350441</v>
      </c>
      <c r="K979" s="10">
        <f>K981+K982+K989+K990+K992+K994+K996+K998+K1000+K1004+K1008+K1011+K1016+K1019+K1021+K1022+K1026+K1029+K1030+K1032+K1035+K1036+K1037+K1038+K1018</f>
        <v>13948441</v>
      </c>
      <c r="L979" s="10">
        <f t="shared" si="157"/>
        <v>1802000</v>
      </c>
      <c r="M979" s="10">
        <f t="shared" si="157"/>
        <v>0</v>
      </c>
      <c r="N979" s="10">
        <f t="shared" si="157"/>
        <v>0</v>
      </c>
      <c r="O979" s="10">
        <f>O981+O982+O989+O990+O992+O994+O996+O998+O1000+O1004+O1008+O1011+O1016+O1019+O1021+O1022+O1026+O1029+O1030+O1032+O1035+O1036+O1037+O1038+O1018</f>
        <v>15548441</v>
      </c>
      <c r="P979" s="10">
        <f t="shared" si="157"/>
        <v>69055068</v>
      </c>
    </row>
    <row r="980" spans="1:16">
      <c r="A980" s="6" t="s">
        <v>125</v>
      </c>
      <c r="B980" s="7"/>
      <c r="C980" s="8"/>
      <c r="D980" s="45" t="s">
        <v>182</v>
      </c>
      <c r="E980" s="10">
        <f t="shared" ref="E980:P980" si="158">E979</f>
        <v>53855005</v>
      </c>
      <c r="F980" s="10">
        <f t="shared" si="158"/>
        <v>53785005</v>
      </c>
      <c r="G980" s="10">
        <f t="shared" si="158"/>
        <v>22696086</v>
      </c>
      <c r="H980" s="10">
        <f t="shared" si="158"/>
        <v>3131565</v>
      </c>
      <c r="I980" s="10">
        <f t="shared" si="158"/>
        <v>70000</v>
      </c>
      <c r="J980" s="10">
        <f t="shared" si="158"/>
        <v>17350441</v>
      </c>
      <c r="K980" s="10">
        <f t="shared" si="158"/>
        <v>13948441</v>
      </c>
      <c r="L980" s="10">
        <f t="shared" si="158"/>
        <v>1802000</v>
      </c>
      <c r="M980" s="10">
        <f t="shared" si="158"/>
        <v>0</v>
      </c>
      <c r="N980" s="10">
        <f t="shared" si="158"/>
        <v>0</v>
      </c>
      <c r="O980" s="10">
        <f t="shared" si="158"/>
        <v>15548441</v>
      </c>
      <c r="P980" s="10">
        <f t="shared" si="158"/>
        <v>69055068</v>
      </c>
    </row>
    <row r="981" spans="1:16" ht="63.75">
      <c r="A981" s="6" t="s">
        <v>126</v>
      </c>
      <c r="B981" s="6" t="s">
        <v>127</v>
      </c>
      <c r="C981" s="64" t="s">
        <v>23</v>
      </c>
      <c r="D981" s="9" t="s">
        <v>181</v>
      </c>
      <c r="E981" s="10">
        <f>19981466+205000</f>
        <v>20186466</v>
      </c>
      <c r="F981" s="11">
        <f>19981466+205000</f>
        <v>20186466</v>
      </c>
      <c r="G981" s="11">
        <v>14055300</v>
      </c>
      <c r="H981" s="11">
        <f>1029000+5000</f>
        <v>1034000</v>
      </c>
      <c r="I981" s="11">
        <v>0</v>
      </c>
      <c r="J981" s="10">
        <v>135000</v>
      </c>
      <c r="K981" s="11">
        <v>100000</v>
      </c>
      <c r="L981" s="11">
        <v>35000</v>
      </c>
      <c r="M981" s="11">
        <v>0</v>
      </c>
      <c r="N981" s="11">
        <v>0</v>
      </c>
      <c r="O981" s="11">
        <v>100000</v>
      </c>
      <c r="P981" s="10">
        <f t="shared" ref="P981:P1048" si="159">E981+J981</f>
        <v>20321466</v>
      </c>
    </row>
    <row r="982" spans="1:16" ht="38.25">
      <c r="A982" s="6" t="s">
        <v>262</v>
      </c>
      <c r="B982" s="6" t="s">
        <v>200</v>
      </c>
      <c r="C982" s="64" t="s">
        <v>23</v>
      </c>
      <c r="D982" s="11" t="s">
        <v>263</v>
      </c>
      <c r="E982" s="10">
        <v>811798</v>
      </c>
      <c r="F982" s="11">
        <v>811798</v>
      </c>
      <c r="G982" s="11">
        <v>660900</v>
      </c>
      <c r="H982" s="11">
        <v>0</v>
      </c>
      <c r="I982" s="11">
        <v>0</v>
      </c>
      <c r="J982" s="10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0">
        <f t="shared" si="159"/>
        <v>811798</v>
      </c>
    </row>
    <row r="983" spans="1:16" ht="38.25" hidden="1">
      <c r="A983" s="6" t="s">
        <v>195</v>
      </c>
      <c r="B983" s="6" t="s">
        <v>196</v>
      </c>
      <c r="C983" s="8"/>
      <c r="D983" s="9" t="s">
        <v>197</v>
      </c>
      <c r="E983" s="10"/>
      <c r="F983" s="11"/>
      <c r="G983" s="11"/>
      <c r="H983" s="11"/>
      <c r="I983" s="11"/>
      <c r="J983" s="10"/>
      <c r="K983" s="11"/>
      <c r="L983" s="11"/>
      <c r="M983" s="11"/>
      <c r="N983" s="11"/>
      <c r="O983" s="11"/>
      <c r="P983" s="10">
        <f t="shared" si="159"/>
        <v>0</v>
      </c>
    </row>
    <row r="984" spans="1:16" hidden="1">
      <c r="A984" s="12" t="s">
        <v>198</v>
      </c>
      <c r="B984" s="12" t="s">
        <v>199</v>
      </c>
      <c r="C984" s="13" t="s">
        <v>200</v>
      </c>
      <c r="D984" s="65" t="s">
        <v>201</v>
      </c>
      <c r="E984" s="15"/>
      <c r="F984" s="14"/>
      <c r="G984" s="14"/>
      <c r="H984" s="14"/>
      <c r="I984" s="14"/>
      <c r="J984" s="15"/>
      <c r="K984" s="14"/>
      <c r="L984" s="14"/>
      <c r="M984" s="14"/>
      <c r="N984" s="14"/>
      <c r="O984" s="14"/>
      <c r="P984" s="15">
        <f t="shared" si="159"/>
        <v>0</v>
      </c>
    </row>
    <row r="985" spans="1:16" hidden="1">
      <c r="A985" s="6" t="s">
        <v>128</v>
      </c>
      <c r="B985" s="6" t="s">
        <v>202</v>
      </c>
      <c r="C985" s="64" t="s">
        <v>129</v>
      </c>
      <c r="D985" s="9" t="s">
        <v>132</v>
      </c>
      <c r="E985" s="10"/>
      <c r="F985" s="11"/>
      <c r="G985" s="11"/>
      <c r="H985" s="11"/>
      <c r="I985" s="11"/>
      <c r="J985" s="10"/>
      <c r="K985" s="11"/>
      <c r="L985" s="11"/>
      <c r="M985" s="11"/>
      <c r="N985" s="11"/>
      <c r="O985" s="11"/>
      <c r="P985" s="10">
        <f t="shared" si="159"/>
        <v>0</v>
      </c>
    </row>
    <row r="986" spans="1:16" ht="63.75" hidden="1">
      <c r="A986" s="6" t="s">
        <v>130</v>
      </c>
      <c r="B986" s="6" t="s">
        <v>29</v>
      </c>
      <c r="C986" s="64" t="s">
        <v>28</v>
      </c>
      <c r="D986" s="9" t="s">
        <v>203</v>
      </c>
      <c r="E986" s="10"/>
      <c r="F986" s="11"/>
      <c r="G986" s="11"/>
      <c r="H986" s="11"/>
      <c r="I986" s="11"/>
      <c r="J986" s="10"/>
      <c r="K986" s="11"/>
      <c r="L986" s="11"/>
      <c r="M986" s="11"/>
      <c r="N986" s="11"/>
      <c r="O986" s="11"/>
      <c r="P986" s="10">
        <f t="shared" si="159"/>
        <v>0</v>
      </c>
    </row>
    <row r="987" spans="1:16" ht="25.5" hidden="1">
      <c r="A987" s="6"/>
      <c r="B987" s="6"/>
      <c r="C987" s="64"/>
      <c r="D987" s="46" t="s">
        <v>133</v>
      </c>
      <c r="E987" s="42">
        <f>F987+I987</f>
        <v>0</v>
      </c>
      <c r="F987" s="14"/>
      <c r="G987" s="14"/>
      <c r="H987" s="11"/>
      <c r="I987" s="11"/>
      <c r="J987" s="10"/>
      <c r="K987" s="11"/>
      <c r="L987" s="11"/>
      <c r="M987" s="11"/>
      <c r="N987" s="11"/>
      <c r="O987" s="11"/>
      <c r="P987" s="10">
        <f t="shared" si="159"/>
        <v>0</v>
      </c>
    </row>
    <row r="988" spans="1:16" hidden="1">
      <c r="A988" s="6" t="s">
        <v>130</v>
      </c>
      <c r="B988" s="6">
        <v>1020</v>
      </c>
      <c r="C988" s="39" t="s">
        <v>28</v>
      </c>
      <c r="D988" s="45" t="s">
        <v>134</v>
      </c>
      <c r="E988" s="42">
        <f>F988+I988</f>
        <v>0</v>
      </c>
      <c r="F988" s="14"/>
      <c r="G988" s="14"/>
      <c r="H988" s="14"/>
      <c r="I988" s="11"/>
      <c r="J988" s="10"/>
      <c r="K988" s="11"/>
      <c r="L988" s="11"/>
      <c r="M988" s="11"/>
      <c r="N988" s="11"/>
      <c r="O988" s="11"/>
      <c r="P988" s="10">
        <f t="shared" si="159"/>
        <v>0</v>
      </c>
    </row>
    <row r="989" spans="1:16" ht="51">
      <c r="A989" s="6" t="s">
        <v>143</v>
      </c>
      <c r="B989" s="6" t="s">
        <v>204</v>
      </c>
      <c r="C989" s="64" t="s">
        <v>184</v>
      </c>
      <c r="D989" s="9" t="s">
        <v>145</v>
      </c>
      <c r="E989" s="10">
        <v>2175864</v>
      </c>
      <c r="F989" s="11">
        <v>2175864</v>
      </c>
      <c r="G989" s="11">
        <v>1771200</v>
      </c>
      <c r="H989" s="11">
        <v>0</v>
      </c>
      <c r="I989" s="11">
        <v>0</v>
      </c>
      <c r="J989" s="10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0">
        <f t="shared" si="159"/>
        <v>2175864</v>
      </c>
    </row>
    <row r="990" spans="1:16" ht="25.5">
      <c r="A990" s="6" t="s">
        <v>297</v>
      </c>
      <c r="B990" s="6">
        <v>2141</v>
      </c>
      <c r="C990" s="64" t="s">
        <v>281</v>
      </c>
      <c r="D990" s="9" t="s">
        <v>298</v>
      </c>
      <c r="E990" s="10">
        <v>50640</v>
      </c>
      <c r="F990" s="11">
        <v>50640</v>
      </c>
      <c r="G990" s="11">
        <v>0</v>
      </c>
      <c r="H990" s="11">
        <v>0</v>
      </c>
      <c r="I990" s="11">
        <v>0</v>
      </c>
      <c r="J990" s="10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0">
        <f t="shared" si="159"/>
        <v>50640</v>
      </c>
    </row>
    <row r="991" spans="1:16">
      <c r="A991" s="6"/>
      <c r="B991" s="6"/>
      <c r="C991" s="64"/>
      <c r="D991" s="11" t="s">
        <v>283</v>
      </c>
      <c r="E991" s="22">
        <v>50640</v>
      </c>
      <c r="F991" s="21">
        <v>50640</v>
      </c>
      <c r="G991" s="11"/>
      <c r="H991" s="11"/>
      <c r="I991" s="11"/>
      <c r="J991" s="10"/>
      <c r="K991" s="11"/>
      <c r="L991" s="11"/>
      <c r="M991" s="11"/>
      <c r="N991" s="11"/>
      <c r="O991" s="11"/>
      <c r="P991" s="22">
        <f t="shared" si="159"/>
        <v>50640</v>
      </c>
    </row>
    <row r="992" spans="1:16" ht="25.5">
      <c r="A992" s="6" t="s">
        <v>299</v>
      </c>
      <c r="B992" s="6">
        <v>2142</v>
      </c>
      <c r="C992" s="64" t="s">
        <v>281</v>
      </c>
      <c r="D992" s="9" t="s">
        <v>300</v>
      </c>
      <c r="E992" s="10">
        <v>42500</v>
      </c>
      <c r="F992" s="11">
        <v>42500</v>
      </c>
      <c r="G992" s="11">
        <v>0</v>
      </c>
      <c r="H992" s="11">
        <v>0</v>
      </c>
      <c r="I992" s="11">
        <v>0</v>
      </c>
      <c r="J992" s="10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0">
        <f t="shared" si="159"/>
        <v>42500</v>
      </c>
    </row>
    <row r="993" spans="1:16">
      <c r="A993" s="6"/>
      <c r="B993" s="6"/>
      <c r="C993" s="64"/>
      <c r="D993" s="11" t="s">
        <v>283</v>
      </c>
      <c r="E993" s="15">
        <v>42500</v>
      </c>
      <c r="F993" s="14">
        <v>42500</v>
      </c>
      <c r="G993" s="14"/>
      <c r="H993" s="14"/>
      <c r="I993" s="14"/>
      <c r="J993" s="15"/>
      <c r="K993" s="14"/>
      <c r="L993" s="14"/>
      <c r="M993" s="14"/>
      <c r="N993" s="14"/>
      <c r="O993" s="14"/>
      <c r="P993" s="22">
        <f t="shared" si="159"/>
        <v>42500</v>
      </c>
    </row>
    <row r="994" spans="1:16" ht="25.5">
      <c r="A994" s="6" t="s">
        <v>301</v>
      </c>
      <c r="B994" s="6">
        <v>2145</v>
      </c>
      <c r="C994" s="64" t="s">
        <v>281</v>
      </c>
      <c r="D994" s="11" t="s">
        <v>302</v>
      </c>
      <c r="E994" s="10">
        <v>50000</v>
      </c>
      <c r="F994" s="11">
        <v>50000</v>
      </c>
      <c r="G994" s="11">
        <v>0</v>
      </c>
      <c r="H994" s="11">
        <v>0</v>
      </c>
      <c r="I994" s="11">
        <v>0</v>
      </c>
      <c r="J994" s="10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0">
        <f t="shared" si="159"/>
        <v>50000</v>
      </c>
    </row>
    <row r="995" spans="1:16">
      <c r="A995" s="6"/>
      <c r="B995" s="6"/>
      <c r="C995" s="64"/>
      <c r="D995" s="11" t="s">
        <v>283</v>
      </c>
      <c r="E995" s="22">
        <v>50000</v>
      </c>
      <c r="F995" s="21">
        <v>50000</v>
      </c>
      <c r="G995" s="11"/>
      <c r="H995" s="11"/>
      <c r="I995" s="11"/>
      <c r="J995" s="10"/>
      <c r="K995" s="11"/>
      <c r="L995" s="11"/>
      <c r="M995" s="11"/>
      <c r="N995" s="11"/>
      <c r="O995" s="11"/>
      <c r="P995" s="22">
        <f t="shared" si="159"/>
        <v>50000</v>
      </c>
    </row>
    <row r="996" spans="1:16" ht="25.5">
      <c r="A996" s="6" t="s">
        <v>303</v>
      </c>
      <c r="B996" s="6">
        <v>2152</v>
      </c>
      <c r="C996" s="64" t="s">
        <v>281</v>
      </c>
      <c r="D996" s="11" t="s">
        <v>304</v>
      </c>
      <c r="E996" s="10">
        <v>3485058</v>
      </c>
      <c r="F996" s="11">
        <v>3485058</v>
      </c>
      <c r="G996" s="11">
        <v>0</v>
      </c>
      <c r="H996" s="11">
        <v>0</v>
      </c>
      <c r="I996" s="11">
        <v>0</v>
      </c>
      <c r="J996" s="10">
        <v>20000</v>
      </c>
      <c r="K996" s="11">
        <v>20000</v>
      </c>
      <c r="L996" s="11">
        <v>0</v>
      </c>
      <c r="M996" s="11">
        <v>0</v>
      </c>
      <c r="N996" s="11">
        <v>0</v>
      </c>
      <c r="O996" s="11">
        <v>20000</v>
      </c>
      <c r="P996" s="10">
        <f t="shared" si="159"/>
        <v>3505058</v>
      </c>
    </row>
    <row r="997" spans="1:16">
      <c r="A997" s="12"/>
      <c r="B997" s="12"/>
      <c r="C997" s="13"/>
      <c r="D997" s="11" t="s">
        <v>283</v>
      </c>
      <c r="E997" s="15">
        <v>3485058</v>
      </c>
      <c r="F997" s="14">
        <v>3485058</v>
      </c>
      <c r="G997" s="14">
        <v>0</v>
      </c>
      <c r="H997" s="14">
        <v>0</v>
      </c>
      <c r="I997" s="14">
        <v>0</v>
      </c>
      <c r="J997" s="15">
        <v>20000</v>
      </c>
      <c r="K997" s="14">
        <v>20000</v>
      </c>
      <c r="L997" s="14">
        <v>0</v>
      </c>
      <c r="M997" s="14">
        <v>0</v>
      </c>
      <c r="N997" s="14">
        <v>0</v>
      </c>
      <c r="O997" s="14">
        <v>20000</v>
      </c>
      <c r="P997" s="15">
        <f t="shared" si="159"/>
        <v>3505058</v>
      </c>
    </row>
    <row r="998" spans="1:16">
      <c r="A998" s="6" t="s">
        <v>185</v>
      </c>
      <c r="B998" s="6" t="s">
        <v>209</v>
      </c>
      <c r="C998" s="64" t="s">
        <v>105</v>
      </c>
      <c r="D998" s="9" t="s">
        <v>106</v>
      </c>
      <c r="E998" s="10">
        <v>110000</v>
      </c>
      <c r="F998" s="11">
        <v>110000</v>
      </c>
      <c r="G998" s="11">
        <v>49176</v>
      </c>
      <c r="H998" s="11">
        <v>0</v>
      </c>
      <c r="I998" s="11">
        <v>0</v>
      </c>
      <c r="J998" s="10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0">
        <f t="shared" si="159"/>
        <v>110000</v>
      </c>
    </row>
    <row r="999" spans="1:16">
      <c r="A999" s="6"/>
      <c r="B999" s="6"/>
      <c r="C999" s="64"/>
      <c r="D999" s="45" t="s">
        <v>306</v>
      </c>
      <c r="E999" s="10">
        <v>50000</v>
      </c>
      <c r="F999" s="11">
        <v>50000</v>
      </c>
      <c r="G999" s="11">
        <v>0</v>
      </c>
      <c r="H999" s="11">
        <v>0</v>
      </c>
      <c r="I999" s="11">
        <v>0</v>
      </c>
      <c r="J999" s="10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0">
        <f t="shared" si="159"/>
        <v>50000</v>
      </c>
    </row>
    <row r="1000" spans="1:16" ht="25.5">
      <c r="A1000" s="6" t="s">
        <v>139</v>
      </c>
      <c r="B1000" s="6">
        <v>3242</v>
      </c>
      <c r="C1000" s="64" t="s">
        <v>36</v>
      </c>
      <c r="D1000" s="9" t="s">
        <v>137</v>
      </c>
      <c r="E1000" s="10">
        <f>935000+357147</f>
        <v>1292147</v>
      </c>
      <c r="F1000" s="11">
        <f>935000+357147</f>
        <v>1292147</v>
      </c>
      <c r="G1000" s="11">
        <v>0</v>
      </c>
      <c r="H1000" s="11">
        <v>0</v>
      </c>
      <c r="I1000" s="11">
        <v>0</v>
      </c>
      <c r="J1000" s="10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0">
        <f t="shared" si="159"/>
        <v>1292147</v>
      </c>
    </row>
    <row r="1001" spans="1:16" hidden="1">
      <c r="A1001" s="12"/>
      <c r="B1001" s="12"/>
      <c r="C1001" s="13"/>
      <c r="D1001" s="65"/>
      <c r="E1001" s="15"/>
      <c r="F1001" s="14"/>
      <c r="G1001" s="14">
        <v>0</v>
      </c>
      <c r="H1001" s="14">
        <v>0</v>
      </c>
      <c r="I1001" s="14">
        <v>0</v>
      </c>
      <c r="J1001" s="15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5">
        <f t="shared" si="159"/>
        <v>0</v>
      </c>
    </row>
    <row r="1002" spans="1:16" hidden="1">
      <c r="A1002" s="6"/>
      <c r="B1002" s="6"/>
      <c r="C1002" s="64"/>
      <c r="D1002" s="9"/>
      <c r="E1002" s="10"/>
      <c r="F1002" s="11"/>
      <c r="G1002" s="11"/>
      <c r="H1002" s="11"/>
      <c r="I1002" s="11"/>
      <c r="J1002" s="10"/>
      <c r="K1002" s="11"/>
      <c r="L1002" s="11"/>
      <c r="M1002" s="11"/>
      <c r="N1002" s="11"/>
      <c r="O1002" s="11"/>
      <c r="P1002" s="10">
        <f t="shared" si="159"/>
        <v>0</v>
      </c>
    </row>
    <row r="1003" spans="1:16" hidden="1">
      <c r="A1003" s="6"/>
      <c r="B1003" s="6"/>
      <c r="C1003" s="64"/>
      <c r="D1003" s="9"/>
      <c r="E1003" s="10"/>
      <c r="F1003" s="11"/>
      <c r="G1003" s="11"/>
      <c r="H1003" s="11"/>
      <c r="I1003" s="11"/>
      <c r="J1003" s="10"/>
      <c r="K1003" s="11"/>
      <c r="L1003" s="11"/>
      <c r="M1003" s="11"/>
      <c r="N1003" s="11"/>
      <c r="O1003" s="11"/>
      <c r="P1003" s="10">
        <f t="shared" si="159"/>
        <v>0</v>
      </c>
    </row>
    <row r="1004" spans="1:16" ht="24">
      <c r="A1004" s="6" t="s">
        <v>305</v>
      </c>
      <c r="B1004" s="6">
        <v>4081</v>
      </c>
      <c r="C1004" s="13" t="s">
        <v>144</v>
      </c>
      <c r="D1004" s="90" t="s">
        <v>323</v>
      </c>
      <c r="E1004" s="10">
        <v>9893068</v>
      </c>
      <c r="F1004" s="11">
        <v>9893068</v>
      </c>
      <c r="G1004" s="11">
        <v>6159510</v>
      </c>
      <c r="H1004" s="11">
        <v>1197565</v>
      </c>
      <c r="I1004" s="11">
        <v>0</v>
      </c>
      <c r="J1004" s="10">
        <v>150000</v>
      </c>
      <c r="K1004" s="11">
        <v>150000</v>
      </c>
      <c r="L1004" s="11">
        <v>0</v>
      </c>
      <c r="M1004" s="11">
        <v>0</v>
      </c>
      <c r="N1004" s="11">
        <v>0</v>
      </c>
      <c r="O1004" s="11">
        <v>150000</v>
      </c>
      <c r="P1004" s="10">
        <f t="shared" si="159"/>
        <v>10043068</v>
      </c>
    </row>
    <row r="1005" spans="1:16">
      <c r="A1005" s="6"/>
      <c r="B1005" s="6"/>
      <c r="C1005" s="13"/>
      <c r="D1005" s="45" t="s">
        <v>276</v>
      </c>
      <c r="E1005" s="22">
        <v>9893068</v>
      </c>
      <c r="F1005" s="21">
        <v>9893068</v>
      </c>
      <c r="G1005" s="21">
        <v>6159510</v>
      </c>
      <c r="H1005" s="21">
        <v>1197565</v>
      </c>
      <c r="I1005" s="21">
        <v>0</v>
      </c>
      <c r="J1005" s="22">
        <v>150000</v>
      </c>
      <c r="K1005" s="21">
        <v>150000</v>
      </c>
      <c r="L1005" s="21">
        <v>0</v>
      </c>
      <c r="M1005" s="21">
        <v>0</v>
      </c>
      <c r="N1005" s="21">
        <v>0</v>
      </c>
      <c r="O1005" s="21">
        <v>150000</v>
      </c>
      <c r="P1005" s="10">
        <f t="shared" si="159"/>
        <v>10043068</v>
      </c>
    </row>
    <row r="1006" spans="1:16" hidden="1">
      <c r="A1006" s="6"/>
      <c r="B1006" s="6"/>
      <c r="C1006" s="13"/>
      <c r="D1006" s="45"/>
      <c r="E1006" s="22"/>
      <c r="F1006" s="21"/>
      <c r="G1006" s="21"/>
      <c r="H1006" s="21"/>
      <c r="I1006" s="21"/>
      <c r="J1006" s="22"/>
      <c r="K1006" s="21"/>
      <c r="L1006" s="21"/>
      <c r="M1006" s="21"/>
      <c r="N1006" s="21"/>
      <c r="O1006" s="21"/>
      <c r="P1006" s="22">
        <f t="shared" si="159"/>
        <v>0</v>
      </c>
    </row>
    <row r="1007" spans="1:16" hidden="1">
      <c r="A1007" s="12"/>
      <c r="B1007" s="12"/>
      <c r="C1007" s="13"/>
      <c r="D1007" s="65"/>
      <c r="E1007" s="15"/>
      <c r="F1007" s="14"/>
      <c r="G1007" s="14"/>
      <c r="H1007" s="14"/>
      <c r="I1007" s="14"/>
      <c r="J1007" s="15"/>
      <c r="K1007" s="14"/>
      <c r="L1007" s="14"/>
      <c r="M1007" s="14"/>
      <c r="N1007" s="14"/>
      <c r="O1007" s="14"/>
      <c r="P1007" s="15">
        <f t="shared" si="159"/>
        <v>0</v>
      </c>
    </row>
    <row r="1008" spans="1:16" ht="38.25">
      <c r="A1008" s="6" t="s">
        <v>146</v>
      </c>
      <c r="B1008" s="6">
        <v>5032</v>
      </c>
      <c r="C1008" s="13" t="s">
        <v>49</v>
      </c>
      <c r="D1008" s="9" t="s">
        <v>51</v>
      </c>
      <c r="E1008" s="10">
        <f>2106783+380000</f>
        <v>2486783</v>
      </c>
      <c r="F1008" s="11">
        <f>2106783+380000</f>
        <v>2486783</v>
      </c>
      <c r="G1008" s="11">
        <v>0</v>
      </c>
      <c r="H1008" s="11">
        <v>0</v>
      </c>
      <c r="I1008" s="11">
        <v>0</v>
      </c>
      <c r="J1008" s="10">
        <v>10000</v>
      </c>
      <c r="K1008" s="11">
        <v>10000</v>
      </c>
      <c r="L1008" s="11">
        <v>0</v>
      </c>
      <c r="M1008" s="11">
        <v>0</v>
      </c>
      <c r="N1008" s="11">
        <v>0</v>
      </c>
      <c r="O1008" s="11">
        <v>10000</v>
      </c>
      <c r="P1008" s="10">
        <f t="shared" si="159"/>
        <v>2496783</v>
      </c>
    </row>
    <row r="1009" spans="1:16">
      <c r="A1009" s="12"/>
      <c r="B1009" s="12"/>
      <c r="C1009" s="13"/>
      <c r="D1009" s="45" t="s">
        <v>107</v>
      </c>
      <c r="E1009" s="15">
        <v>2486783</v>
      </c>
      <c r="F1009" s="14">
        <v>2486783</v>
      </c>
      <c r="G1009" s="14">
        <v>0</v>
      </c>
      <c r="H1009" s="14">
        <v>0</v>
      </c>
      <c r="I1009" s="14">
        <v>0</v>
      </c>
      <c r="J1009" s="15">
        <v>10000</v>
      </c>
      <c r="K1009" s="14">
        <v>10000</v>
      </c>
      <c r="L1009" s="14">
        <v>0</v>
      </c>
      <c r="M1009" s="14">
        <v>0</v>
      </c>
      <c r="N1009" s="14">
        <v>0</v>
      </c>
      <c r="O1009" s="14">
        <v>10000</v>
      </c>
      <c r="P1009" s="15">
        <f t="shared" si="159"/>
        <v>2496783</v>
      </c>
    </row>
    <row r="1010" spans="1:16" hidden="1">
      <c r="A1010" s="12"/>
      <c r="B1010" s="12"/>
      <c r="C1010" s="13"/>
      <c r="D1010" s="45"/>
      <c r="E1010" s="15"/>
      <c r="F1010" s="14"/>
      <c r="G1010" s="14">
        <v>0</v>
      </c>
      <c r="H1010" s="14">
        <v>0</v>
      </c>
      <c r="I1010" s="14">
        <v>0</v>
      </c>
      <c r="J1010" s="15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5">
        <f t="shared" si="159"/>
        <v>0</v>
      </c>
    </row>
    <row r="1011" spans="1:16" ht="25.5">
      <c r="A1011" s="6" t="s">
        <v>149</v>
      </c>
      <c r="B1011" s="6">
        <v>6013</v>
      </c>
      <c r="C1011" s="13" t="s">
        <v>54</v>
      </c>
      <c r="D1011" s="9" t="s">
        <v>150</v>
      </c>
      <c r="E1011" s="10">
        <v>650000</v>
      </c>
      <c r="F1011" s="11">
        <v>650000</v>
      </c>
      <c r="G1011" s="11">
        <v>0</v>
      </c>
      <c r="H1011" s="11">
        <v>0</v>
      </c>
      <c r="I1011" s="11">
        <v>0</v>
      </c>
      <c r="J1011" s="10">
        <v>1036050</v>
      </c>
      <c r="K1011" s="11">
        <v>1036050</v>
      </c>
      <c r="L1011" s="11">
        <v>0</v>
      </c>
      <c r="M1011" s="11">
        <v>0</v>
      </c>
      <c r="N1011" s="11">
        <v>0</v>
      </c>
      <c r="O1011" s="11">
        <v>1036050</v>
      </c>
      <c r="P1011" s="10">
        <f t="shared" si="159"/>
        <v>1686050</v>
      </c>
    </row>
    <row r="1012" spans="1:16">
      <c r="A1012" s="12"/>
      <c r="B1012" s="12"/>
      <c r="C1012" s="13"/>
      <c r="D1012" s="45" t="s">
        <v>109</v>
      </c>
      <c r="E1012" s="15">
        <v>650000</v>
      </c>
      <c r="F1012" s="14">
        <v>650000</v>
      </c>
      <c r="G1012" s="14">
        <v>0</v>
      </c>
      <c r="H1012" s="14">
        <v>0</v>
      </c>
      <c r="I1012" s="14">
        <v>0</v>
      </c>
      <c r="J1012" s="15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5">
        <f t="shared" si="159"/>
        <v>650000</v>
      </c>
    </row>
    <row r="1013" spans="1:16" ht="51">
      <c r="A1013" s="6" t="s">
        <v>147</v>
      </c>
      <c r="B1013" s="6">
        <v>6020</v>
      </c>
      <c r="C1013" s="13" t="s">
        <v>54</v>
      </c>
      <c r="D1013" s="45" t="s">
        <v>148</v>
      </c>
      <c r="E1013" s="10">
        <v>1952600</v>
      </c>
      <c r="F1013" s="11">
        <v>1952600</v>
      </c>
      <c r="G1013" s="11">
        <v>0</v>
      </c>
      <c r="H1013" s="11">
        <v>0</v>
      </c>
      <c r="I1013" s="11">
        <v>0</v>
      </c>
      <c r="J1013" s="10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0">
        <f t="shared" si="159"/>
        <v>1952600</v>
      </c>
    </row>
    <row r="1014" spans="1:16">
      <c r="A1014" s="6"/>
      <c r="B1014" s="6"/>
      <c r="C1014" s="64"/>
      <c r="D1014" s="45" t="s">
        <v>109</v>
      </c>
      <c r="E1014" s="22">
        <v>1952600</v>
      </c>
      <c r="F1014" s="21">
        <v>1952600</v>
      </c>
      <c r="G1014" s="21">
        <v>0</v>
      </c>
      <c r="H1014" s="21">
        <v>0</v>
      </c>
      <c r="I1014" s="21">
        <v>0</v>
      </c>
      <c r="J1014" s="22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2">
        <f t="shared" si="159"/>
        <v>1952600</v>
      </c>
    </row>
    <row r="1015" spans="1:16" hidden="1">
      <c r="A1015" s="6"/>
      <c r="B1015" s="6"/>
      <c r="C1015" s="64"/>
      <c r="D1015" s="45"/>
      <c r="E1015" s="22"/>
      <c r="F1015" s="21"/>
      <c r="G1015" s="21"/>
      <c r="H1015" s="21"/>
      <c r="I1015" s="21"/>
      <c r="J1015" s="22"/>
      <c r="K1015" s="21"/>
      <c r="L1015" s="21"/>
      <c r="M1015" s="21"/>
      <c r="N1015" s="21"/>
      <c r="O1015" s="21"/>
      <c r="P1015" s="22">
        <f t="shared" si="159"/>
        <v>0</v>
      </c>
    </row>
    <row r="1016" spans="1:16">
      <c r="A1016" s="6" t="s">
        <v>151</v>
      </c>
      <c r="B1016" s="6" t="s">
        <v>228</v>
      </c>
      <c r="C1016" s="64" t="s">
        <v>54</v>
      </c>
      <c r="D1016" s="9" t="s">
        <v>152</v>
      </c>
      <c r="E1016" s="10">
        <f>6950000+100000</f>
        <v>7050000</v>
      </c>
      <c r="F1016" s="11">
        <f>6950000+100000</f>
        <v>7050000</v>
      </c>
      <c r="G1016" s="11">
        <v>0</v>
      </c>
      <c r="H1016" s="11">
        <v>900000</v>
      </c>
      <c r="I1016" s="11">
        <v>0</v>
      </c>
      <c r="J1016" s="10">
        <f>3350369+1082022</f>
        <v>4432391</v>
      </c>
      <c r="K1016" s="11">
        <f>3350369+1082022</f>
        <v>4432391</v>
      </c>
      <c r="L1016" s="11">
        <v>0</v>
      </c>
      <c r="M1016" s="11">
        <v>0</v>
      </c>
      <c r="N1016" s="11">
        <v>0</v>
      </c>
      <c r="O1016" s="11">
        <f>3350369+1082022</f>
        <v>4432391</v>
      </c>
      <c r="P1016" s="10">
        <f t="shared" si="159"/>
        <v>11482391</v>
      </c>
    </row>
    <row r="1017" spans="1:16">
      <c r="A1017" s="6"/>
      <c r="B1017" s="6"/>
      <c r="C1017" s="64"/>
      <c r="D1017" s="45" t="s">
        <v>306</v>
      </c>
      <c r="E1017" s="22">
        <v>100000</v>
      </c>
      <c r="F1017" s="21">
        <v>100000</v>
      </c>
      <c r="G1017" s="11">
        <v>0</v>
      </c>
      <c r="H1017" s="11">
        <v>0</v>
      </c>
      <c r="I1017" s="11">
        <v>0</v>
      </c>
      <c r="J1017" s="10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22">
        <f t="shared" si="159"/>
        <v>100000</v>
      </c>
    </row>
    <row r="1018" spans="1:16" ht="25.5">
      <c r="A1018" s="6" t="s">
        <v>318</v>
      </c>
      <c r="B1018" s="6">
        <v>7350</v>
      </c>
      <c r="C1018" s="13" t="s">
        <v>155</v>
      </c>
      <c r="D1018" s="45" t="s">
        <v>319</v>
      </c>
      <c r="E1018" s="22">
        <v>0</v>
      </c>
      <c r="F1018" s="21">
        <v>0</v>
      </c>
      <c r="G1018" s="11">
        <v>0</v>
      </c>
      <c r="H1018" s="11">
        <v>0</v>
      </c>
      <c r="I1018" s="11">
        <v>0</v>
      </c>
      <c r="J1018" s="10">
        <v>197778</v>
      </c>
      <c r="K1018" s="11">
        <v>197778</v>
      </c>
      <c r="L1018" s="11">
        <v>0</v>
      </c>
      <c r="M1018" s="11">
        <v>0</v>
      </c>
      <c r="N1018" s="11">
        <v>0</v>
      </c>
      <c r="O1018" s="11">
        <v>197778</v>
      </c>
      <c r="P1018" s="22">
        <f t="shared" si="159"/>
        <v>197778</v>
      </c>
    </row>
    <row r="1019" spans="1:16" ht="38.25">
      <c r="A1019" s="6" t="s">
        <v>187</v>
      </c>
      <c r="B1019" s="6">
        <v>7363</v>
      </c>
      <c r="C1019" s="13" t="s">
        <v>59</v>
      </c>
      <c r="D1019" s="65" t="s">
        <v>234</v>
      </c>
      <c r="E1019" s="10">
        <v>0</v>
      </c>
      <c r="F1019" s="11">
        <v>0</v>
      </c>
      <c r="G1019" s="11">
        <v>0</v>
      </c>
      <c r="H1019" s="11">
        <v>0</v>
      </c>
      <c r="I1019" s="11">
        <v>0</v>
      </c>
      <c r="J1019" s="10">
        <f>1550000+5403732</f>
        <v>6953732</v>
      </c>
      <c r="K1019" s="11">
        <f>1550000+5403732</f>
        <v>6953732</v>
      </c>
      <c r="L1019" s="11">
        <v>0</v>
      </c>
      <c r="M1019" s="11">
        <v>0</v>
      </c>
      <c r="N1019" s="11">
        <v>0</v>
      </c>
      <c r="O1019" s="11">
        <f>1550000+5403732</f>
        <v>6953732</v>
      </c>
      <c r="P1019" s="10">
        <f t="shared" si="159"/>
        <v>6953732</v>
      </c>
    </row>
    <row r="1020" spans="1:16" hidden="1">
      <c r="A1020" s="12"/>
      <c r="B1020" s="12"/>
      <c r="C1020" s="13"/>
      <c r="D1020" s="65"/>
      <c r="E1020" s="15">
        <v>0</v>
      </c>
      <c r="F1020" s="14">
        <v>0</v>
      </c>
      <c r="G1020" s="14">
        <v>0</v>
      </c>
      <c r="H1020" s="14">
        <v>0</v>
      </c>
      <c r="I1020" s="14">
        <v>0</v>
      </c>
      <c r="J1020" s="15"/>
      <c r="K1020" s="14"/>
      <c r="L1020" s="14">
        <v>0</v>
      </c>
      <c r="M1020" s="14">
        <v>0</v>
      </c>
      <c r="N1020" s="14">
        <v>0</v>
      </c>
      <c r="O1020" s="14">
        <v>0</v>
      </c>
      <c r="P1020" s="15">
        <f t="shared" si="159"/>
        <v>0</v>
      </c>
    </row>
    <row r="1021" spans="1:16" ht="25.5">
      <c r="A1021" s="6" t="s">
        <v>307</v>
      </c>
      <c r="B1021" s="6">
        <v>7650</v>
      </c>
      <c r="C1021" s="13" t="s">
        <v>59</v>
      </c>
      <c r="D1021" s="9" t="s">
        <v>308</v>
      </c>
      <c r="E1021" s="10">
        <v>0</v>
      </c>
      <c r="F1021" s="11">
        <v>0</v>
      </c>
      <c r="G1021" s="11">
        <v>0</v>
      </c>
      <c r="H1021" s="11">
        <v>0</v>
      </c>
      <c r="I1021" s="11">
        <v>0</v>
      </c>
      <c r="J1021" s="10">
        <v>450000</v>
      </c>
      <c r="K1021" s="11">
        <v>450000</v>
      </c>
      <c r="L1021" s="11">
        <v>0</v>
      </c>
      <c r="M1021" s="11">
        <v>0</v>
      </c>
      <c r="N1021" s="11">
        <v>0</v>
      </c>
      <c r="O1021" s="11">
        <v>450000</v>
      </c>
      <c r="P1021" s="10">
        <f t="shared" si="159"/>
        <v>450000</v>
      </c>
    </row>
    <row r="1022" spans="1:16" ht="63.75">
      <c r="A1022" s="6" t="s">
        <v>309</v>
      </c>
      <c r="B1022" s="6">
        <v>7660</v>
      </c>
      <c r="C1022" s="64" t="s">
        <v>59</v>
      </c>
      <c r="D1022" s="9" t="s">
        <v>310</v>
      </c>
      <c r="E1022" s="15">
        <v>0</v>
      </c>
      <c r="F1022" s="14">
        <v>0</v>
      </c>
      <c r="G1022" s="14">
        <v>0</v>
      </c>
      <c r="H1022" s="14">
        <v>0</v>
      </c>
      <c r="I1022" s="14">
        <v>0</v>
      </c>
      <c r="J1022" s="15">
        <v>200000</v>
      </c>
      <c r="K1022" s="14">
        <v>200000</v>
      </c>
      <c r="L1022" s="14">
        <v>0</v>
      </c>
      <c r="M1022" s="14">
        <v>0</v>
      </c>
      <c r="N1022" s="14">
        <v>0</v>
      </c>
      <c r="O1022" s="14">
        <v>200000</v>
      </c>
      <c r="P1022" s="15">
        <f t="shared" si="159"/>
        <v>200000</v>
      </c>
    </row>
    <row r="1023" spans="1:16" hidden="1">
      <c r="A1023" s="6"/>
      <c r="B1023" s="6"/>
      <c r="C1023" s="64"/>
      <c r="D1023" s="9"/>
      <c r="E1023" s="10"/>
      <c r="F1023" s="11"/>
      <c r="G1023" s="11"/>
      <c r="H1023" s="11"/>
      <c r="I1023" s="11"/>
      <c r="J1023" s="10"/>
      <c r="K1023" s="11"/>
      <c r="L1023" s="11"/>
      <c r="M1023" s="11"/>
      <c r="N1023" s="11"/>
      <c r="O1023" s="11"/>
      <c r="P1023" s="10">
        <f t="shared" si="159"/>
        <v>0</v>
      </c>
    </row>
    <row r="1024" spans="1:16" hidden="1">
      <c r="A1024" s="6"/>
      <c r="B1024" s="6"/>
      <c r="C1024" s="64"/>
      <c r="D1024" s="45"/>
      <c r="E1024" s="22"/>
      <c r="F1024" s="21"/>
      <c r="G1024" s="21"/>
      <c r="H1024" s="21"/>
      <c r="I1024" s="21"/>
      <c r="J1024" s="22"/>
      <c r="K1024" s="21"/>
      <c r="L1024" s="21"/>
      <c r="M1024" s="21"/>
      <c r="N1024" s="21"/>
      <c r="O1024" s="21"/>
      <c r="P1024" s="22">
        <f t="shared" si="159"/>
        <v>0</v>
      </c>
    </row>
    <row r="1025" spans="1:16" hidden="1">
      <c r="A1025" s="6"/>
      <c r="B1025" s="6"/>
      <c r="C1025" s="64"/>
      <c r="D1025" s="45"/>
      <c r="E1025" s="22"/>
      <c r="F1025" s="21"/>
      <c r="G1025" s="21"/>
      <c r="H1025" s="21"/>
      <c r="I1025" s="21"/>
      <c r="J1025" s="22"/>
      <c r="K1025" s="21"/>
      <c r="L1025" s="21"/>
      <c r="M1025" s="21"/>
      <c r="N1025" s="21"/>
      <c r="O1025" s="21"/>
      <c r="P1025" s="22">
        <f t="shared" si="159"/>
        <v>0</v>
      </c>
    </row>
    <row r="1026" spans="1:16" ht="89.25">
      <c r="A1026" s="6" t="s">
        <v>191</v>
      </c>
      <c r="B1026" s="6">
        <v>7691</v>
      </c>
      <c r="C1026" s="64" t="s">
        <v>59</v>
      </c>
      <c r="D1026" s="9" t="s">
        <v>244</v>
      </c>
      <c r="E1026" s="10">
        <v>0</v>
      </c>
      <c r="F1026" s="11">
        <v>0</v>
      </c>
      <c r="G1026" s="11">
        <v>0</v>
      </c>
      <c r="H1026" s="11">
        <v>0</v>
      </c>
      <c r="I1026" s="11">
        <v>0</v>
      </c>
      <c r="J1026" s="10">
        <v>2636000</v>
      </c>
      <c r="K1026" s="11">
        <v>0</v>
      </c>
      <c r="L1026" s="11">
        <v>1036000</v>
      </c>
      <c r="M1026" s="11">
        <v>0</v>
      </c>
      <c r="N1026" s="11">
        <v>0</v>
      </c>
      <c r="O1026" s="11">
        <v>1600000</v>
      </c>
      <c r="P1026" s="10">
        <f t="shared" si="159"/>
        <v>2636000</v>
      </c>
    </row>
    <row r="1027" spans="1:16">
      <c r="A1027" s="6"/>
      <c r="B1027" s="6"/>
      <c r="C1027" s="64"/>
      <c r="D1027" s="45" t="s">
        <v>324</v>
      </c>
      <c r="E1027" s="10">
        <v>0</v>
      </c>
      <c r="F1027" s="11">
        <v>0</v>
      </c>
      <c r="G1027" s="11">
        <v>0</v>
      </c>
      <c r="H1027" s="11">
        <v>0</v>
      </c>
      <c r="I1027" s="11">
        <v>0</v>
      </c>
      <c r="J1027" s="10">
        <v>100000</v>
      </c>
      <c r="K1027" s="11">
        <v>0</v>
      </c>
      <c r="L1027" s="11">
        <v>0</v>
      </c>
      <c r="M1027" s="11">
        <v>0</v>
      </c>
      <c r="N1027" s="11">
        <v>0</v>
      </c>
      <c r="O1027" s="11">
        <v>100000</v>
      </c>
      <c r="P1027" s="10">
        <v>100000</v>
      </c>
    </row>
    <row r="1028" spans="1:16">
      <c r="A1028" s="6"/>
      <c r="B1028" s="6"/>
      <c r="C1028" s="64"/>
      <c r="D1028" s="45" t="s">
        <v>320</v>
      </c>
      <c r="E1028" s="10">
        <v>0</v>
      </c>
      <c r="F1028" s="11">
        <v>0</v>
      </c>
      <c r="G1028" s="11">
        <v>0</v>
      </c>
      <c r="H1028" s="11">
        <v>0</v>
      </c>
      <c r="I1028" s="11">
        <v>0</v>
      </c>
      <c r="J1028" s="10">
        <v>500000</v>
      </c>
      <c r="K1028" s="11">
        <v>0</v>
      </c>
      <c r="L1028" s="11">
        <v>0</v>
      </c>
      <c r="M1028" s="11">
        <v>0</v>
      </c>
      <c r="N1028" s="11">
        <v>0</v>
      </c>
      <c r="O1028" s="11">
        <v>500000</v>
      </c>
      <c r="P1028" s="10">
        <f t="shared" si="159"/>
        <v>500000</v>
      </c>
    </row>
    <row r="1029" spans="1:16" ht="25.5">
      <c r="A1029" s="6" t="s">
        <v>311</v>
      </c>
      <c r="B1029" s="6">
        <v>7693</v>
      </c>
      <c r="C1029" s="64" t="s">
        <v>59</v>
      </c>
      <c r="D1029" s="9" t="s">
        <v>312</v>
      </c>
      <c r="E1029" s="10">
        <v>160000</v>
      </c>
      <c r="F1029" s="11">
        <v>90000</v>
      </c>
      <c r="G1029" s="11">
        <v>0</v>
      </c>
      <c r="H1029" s="11">
        <v>0</v>
      </c>
      <c r="I1029" s="11">
        <v>70000</v>
      </c>
      <c r="J1029" s="10">
        <v>198490</v>
      </c>
      <c r="K1029" s="11">
        <v>198490</v>
      </c>
      <c r="L1029" s="11">
        <v>0</v>
      </c>
      <c r="M1029" s="11">
        <v>0</v>
      </c>
      <c r="N1029" s="11">
        <v>0</v>
      </c>
      <c r="O1029" s="11">
        <v>198490</v>
      </c>
      <c r="P1029" s="10">
        <f t="shared" si="159"/>
        <v>358490</v>
      </c>
    </row>
    <row r="1030" spans="1:16" ht="25.5">
      <c r="A1030" s="6" t="s">
        <v>169</v>
      </c>
      <c r="B1030" s="6">
        <v>8311</v>
      </c>
      <c r="C1030" s="13" t="s">
        <v>79</v>
      </c>
      <c r="D1030" s="9" t="s">
        <v>90</v>
      </c>
      <c r="E1030" s="10">
        <v>0</v>
      </c>
      <c r="F1030" s="11">
        <v>0</v>
      </c>
      <c r="G1030" s="11">
        <v>0</v>
      </c>
      <c r="H1030" s="11">
        <v>0</v>
      </c>
      <c r="I1030" s="11">
        <v>0</v>
      </c>
      <c r="J1030" s="10">
        <v>172000</v>
      </c>
      <c r="K1030" s="11">
        <v>0</v>
      </c>
      <c r="L1030" s="11">
        <v>172000</v>
      </c>
      <c r="M1030" s="11">
        <v>0</v>
      </c>
      <c r="N1030" s="11">
        <v>0</v>
      </c>
      <c r="O1030" s="11">
        <v>0</v>
      </c>
      <c r="P1030" s="10">
        <f t="shared" si="159"/>
        <v>172000</v>
      </c>
    </row>
    <row r="1031" spans="1:16" hidden="1">
      <c r="A1031" s="12"/>
      <c r="B1031" s="12"/>
      <c r="C1031" s="13"/>
      <c r="D1031" s="65"/>
      <c r="E1031" s="15"/>
      <c r="F1031" s="14"/>
      <c r="G1031" s="14"/>
      <c r="H1031" s="14"/>
      <c r="I1031" s="14"/>
      <c r="J1031" s="15"/>
      <c r="K1031" s="14"/>
      <c r="L1031" s="14"/>
      <c r="M1031" s="14"/>
      <c r="N1031" s="14"/>
      <c r="O1031" s="14"/>
      <c r="P1031" s="15">
        <f t="shared" si="159"/>
        <v>0</v>
      </c>
    </row>
    <row r="1032" spans="1:16" ht="25.5">
      <c r="A1032" s="6" t="s">
        <v>170</v>
      </c>
      <c r="B1032" s="6" t="s">
        <v>249</v>
      </c>
      <c r="C1032" s="64" t="s">
        <v>171</v>
      </c>
      <c r="D1032" s="9" t="s">
        <v>172</v>
      </c>
      <c r="E1032" s="10">
        <v>0</v>
      </c>
      <c r="F1032" s="11">
        <v>0</v>
      </c>
      <c r="G1032" s="11">
        <v>0</v>
      </c>
      <c r="H1032" s="11">
        <v>0</v>
      </c>
      <c r="I1032" s="11">
        <v>0</v>
      </c>
      <c r="J1032" s="10">
        <f>160000+399000</f>
        <v>559000</v>
      </c>
      <c r="K1032" s="11">
        <v>0</v>
      </c>
      <c r="L1032" s="11">
        <f>160000+399000</f>
        <v>559000</v>
      </c>
      <c r="M1032" s="11">
        <v>0</v>
      </c>
      <c r="N1032" s="11">
        <v>0</v>
      </c>
      <c r="O1032" s="11">
        <v>0</v>
      </c>
      <c r="P1032" s="10">
        <f t="shared" si="159"/>
        <v>559000</v>
      </c>
    </row>
    <row r="1033" spans="1:16" hidden="1">
      <c r="A1033" s="6"/>
      <c r="B1033" s="6"/>
      <c r="C1033" s="64"/>
      <c r="D1033" s="9"/>
      <c r="E1033" s="10"/>
      <c r="F1033" s="11"/>
      <c r="G1033" s="11"/>
      <c r="H1033" s="11"/>
      <c r="I1033" s="11"/>
      <c r="J1033" s="10"/>
      <c r="K1033" s="11"/>
      <c r="L1033" s="11"/>
      <c r="M1033" s="11"/>
      <c r="N1033" s="11"/>
      <c r="O1033" s="11"/>
      <c r="P1033" s="10">
        <f t="shared" si="159"/>
        <v>0</v>
      </c>
    </row>
    <row r="1034" spans="1:16" hidden="1">
      <c r="A1034" s="6"/>
      <c r="B1034" s="6"/>
      <c r="C1034" s="64"/>
      <c r="D1034" s="45"/>
      <c r="E1034" s="22"/>
      <c r="F1034" s="21"/>
      <c r="G1034" s="21"/>
      <c r="H1034" s="21"/>
      <c r="I1034" s="21"/>
      <c r="J1034" s="22"/>
      <c r="K1034" s="21"/>
      <c r="L1034" s="21"/>
      <c r="M1034" s="21"/>
      <c r="N1034" s="21"/>
      <c r="O1034" s="21"/>
      <c r="P1034" s="10">
        <f t="shared" si="159"/>
        <v>0</v>
      </c>
    </row>
    <row r="1035" spans="1:16" ht="38.25">
      <c r="A1035" s="6" t="s">
        <v>173</v>
      </c>
      <c r="B1035" s="6" t="s">
        <v>251</v>
      </c>
      <c r="C1035" s="64" t="s">
        <v>114</v>
      </c>
      <c r="D1035" s="9" t="s">
        <v>252</v>
      </c>
      <c r="E1035" s="10">
        <v>1218300</v>
      </c>
      <c r="F1035" s="11">
        <v>1218300</v>
      </c>
      <c r="G1035" s="11">
        <v>0</v>
      </c>
      <c r="H1035" s="11">
        <v>0</v>
      </c>
      <c r="I1035" s="11">
        <v>0</v>
      </c>
      <c r="J1035" s="10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0">
        <f t="shared" si="159"/>
        <v>1218300</v>
      </c>
    </row>
    <row r="1036" spans="1:16" ht="76.5" hidden="1">
      <c r="A1036" s="6" t="s">
        <v>284</v>
      </c>
      <c r="B1036" s="6">
        <v>9730</v>
      </c>
      <c r="C1036" s="64" t="s">
        <v>114</v>
      </c>
      <c r="D1036" s="11" t="s">
        <v>285</v>
      </c>
      <c r="E1036" s="10">
        <v>0</v>
      </c>
      <c r="F1036" s="11">
        <v>0</v>
      </c>
      <c r="G1036" s="11">
        <v>0</v>
      </c>
      <c r="H1036" s="11">
        <v>0</v>
      </c>
      <c r="I1036" s="11">
        <v>0</v>
      </c>
      <c r="J1036" s="10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0">
        <f t="shared" si="159"/>
        <v>0</v>
      </c>
    </row>
    <row r="1037" spans="1:16">
      <c r="A1037" s="6" t="s">
        <v>253</v>
      </c>
      <c r="B1037" s="6" t="s">
        <v>254</v>
      </c>
      <c r="C1037" s="64" t="s">
        <v>114</v>
      </c>
      <c r="D1037" s="9" t="s">
        <v>255</v>
      </c>
      <c r="E1037" s="10">
        <v>2089781</v>
      </c>
      <c r="F1037" s="11">
        <v>2089781</v>
      </c>
      <c r="G1037" s="11">
        <v>0</v>
      </c>
      <c r="H1037" s="11">
        <v>0</v>
      </c>
      <c r="I1037" s="11">
        <v>0</v>
      </c>
      <c r="J1037" s="10">
        <v>200000</v>
      </c>
      <c r="K1037" s="11">
        <v>200000</v>
      </c>
      <c r="L1037" s="11">
        <v>0</v>
      </c>
      <c r="M1037" s="11">
        <v>0</v>
      </c>
      <c r="N1037" s="11">
        <v>0</v>
      </c>
      <c r="O1037" s="11">
        <v>200000</v>
      </c>
      <c r="P1037" s="10">
        <f t="shared" si="159"/>
        <v>2289781</v>
      </c>
    </row>
    <row r="1038" spans="1:16" ht="38.25">
      <c r="A1038" s="6" t="s">
        <v>256</v>
      </c>
      <c r="B1038" s="6" t="s">
        <v>257</v>
      </c>
      <c r="C1038" s="64" t="s">
        <v>114</v>
      </c>
      <c r="D1038" s="9" t="s">
        <v>258</v>
      </c>
      <c r="E1038" s="10">
        <v>150000</v>
      </c>
      <c r="F1038" s="11">
        <v>150000</v>
      </c>
      <c r="G1038" s="11">
        <v>0</v>
      </c>
      <c r="H1038" s="11">
        <v>0</v>
      </c>
      <c r="I1038" s="11">
        <v>0</v>
      </c>
      <c r="J1038" s="10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0">
        <f t="shared" si="159"/>
        <v>150000</v>
      </c>
    </row>
    <row r="1039" spans="1:16">
      <c r="A1039" s="77" t="s">
        <v>264</v>
      </c>
      <c r="B1039" s="77"/>
      <c r="C1039" s="78"/>
      <c r="D1039" s="79" t="s">
        <v>266</v>
      </c>
      <c r="E1039" s="79">
        <f t="shared" ref="E1039:O1039" si="160">E1040</f>
        <v>47516816</v>
      </c>
      <c r="F1039" s="79">
        <f t="shared" si="160"/>
        <v>47516816</v>
      </c>
      <c r="G1039" s="79">
        <f t="shared" si="160"/>
        <v>28909417</v>
      </c>
      <c r="H1039" s="79">
        <f t="shared" si="160"/>
        <v>4026184</v>
      </c>
      <c r="I1039" s="79">
        <f t="shared" si="160"/>
        <v>0</v>
      </c>
      <c r="J1039" s="79">
        <f t="shared" si="160"/>
        <v>2374898</v>
      </c>
      <c r="K1039" s="79">
        <f t="shared" si="160"/>
        <v>2238730</v>
      </c>
      <c r="L1039" s="79">
        <f t="shared" si="160"/>
        <v>136168</v>
      </c>
      <c r="M1039" s="79">
        <f t="shared" si="160"/>
        <v>0</v>
      </c>
      <c r="N1039" s="79">
        <f t="shared" si="160"/>
        <v>0</v>
      </c>
      <c r="O1039" s="79">
        <f t="shared" si="160"/>
        <v>2238730</v>
      </c>
      <c r="P1039" s="79">
        <f t="shared" si="159"/>
        <v>49891714</v>
      </c>
    </row>
    <row r="1040" spans="1:16" ht="25.5">
      <c r="A1040" s="77" t="s">
        <v>265</v>
      </c>
      <c r="B1040" s="77"/>
      <c r="C1040" s="78"/>
      <c r="D1040" s="79" t="s">
        <v>267</v>
      </c>
      <c r="E1040" s="79">
        <f>F1040+I1040</f>
        <v>47516816</v>
      </c>
      <c r="F1040" s="79">
        <f>F1041+F1042+F1044+F1045+F1046+F1047</f>
        <v>47516816</v>
      </c>
      <c r="G1040" s="79">
        <f t="shared" ref="G1040:O1040" si="161">G1041+G1042+G1044+G1045+G1046</f>
        <v>28909417</v>
      </c>
      <c r="H1040" s="79">
        <f t="shared" si="161"/>
        <v>4026184</v>
      </c>
      <c r="I1040" s="79">
        <f t="shared" si="161"/>
        <v>0</v>
      </c>
      <c r="J1040" s="79">
        <f t="shared" si="161"/>
        <v>2374898</v>
      </c>
      <c r="K1040" s="79">
        <f t="shared" si="161"/>
        <v>2238730</v>
      </c>
      <c r="L1040" s="79">
        <f t="shared" si="161"/>
        <v>136168</v>
      </c>
      <c r="M1040" s="79">
        <f t="shared" si="161"/>
        <v>0</v>
      </c>
      <c r="N1040" s="79">
        <f t="shared" si="161"/>
        <v>0</v>
      </c>
      <c r="O1040" s="79">
        <f t="shared" si="161"/>
        <v>2238730</v>
      </c>
      <c r="P1040" s="79">
        <f t="shared" si="159"/>
        <v>49891714</v>
      </c>
    </row>
    <row r="1041" spans="1:16">
      <c r="A1041" s="6" t="s">
        <v>268</v>
      </c>
      <c r="B1041" s="6">
        <v>1010</v>
      </c>
      <c r="C1041" s="64" t="s">
        <v>129</v>
      </c>
      <c r="D1041" s="9" t="s">
        <v>132</v>
      </c>
      <c r="E1041" s="10">
        <v>5751000</v>
      </c>
      <c r="F1041" s="11">
        <v>5751000</v>
      </c>
      <c r="G1041" s="11">
        <v>3423411</v>
      </c>
      <c r="H1041" s="11">
        <v>813784</v>
      </c>
      <c r="I1041" s="11">
        <v>0</v>
      </c>
      <c r="J1041" s="10">
        <v>186168</v>
      </c>
      <c r="K1041" s="11">
        <v>50000</v>
      </c>
      <c r="L1041" s="11">
        <v>136168</v>
      </c>
      <c r="M1041" s="11">
        <v>0</v>
      </c>
      <c r="N1041" s="11">
        <v>0</v>
      </c>
      <c r="O1041" s="11">
        <v>50000</v>
      </c>
      <c r="P1041" s="10">
        <f t="shared" si="159"/>
        <v>5937168</v>
      </c>
    </row>
    <row r="1042" spans="1:16" ht="63.75">
      <c r="A1042" s="6" t="s">
        <v>269</v>
      </c>
      <c r="B1042" s="6" t="s">
        <v>29</v>
      </c>
      <c r="C1042" s="64" t="s">
        <v>28</v>
      </c>
      <c r="D1042" s="9" t="s">
        <v>203</v>
      </c>
      <c r="E1042" s="10">
        <v>39065696</v>
      </c>
      <c r="F1042" s="11">
        <v>39065696</v>
      </c>
      <c r="G1042" s="11">
        <v>24006446</v>
      </c>
      <c r="H1042" s="11">
        <v>3212400</v>
      </c>
      <c r="I1042" s="11">
        <v>0</v>
      </c>
      <c r="J1042" s="10">
        <v>2188730</v>
      </c>
      <c r="K1042" s="11">
        <v>2188730</v>
      </c>
      <c r="L1042" s="11">
        <v>0</v>
      </c>
      <c r="M1042" s="11">
        <v>0</v>
      </c>
      <c r="N1042" s="11">
        <v>0</v>
      </c>
      <c r="O1042" s="11">
        <v>2188730</v>
      </c>
      <c r="P1042" s="10">
        <f t="shared" si="159"/>
        <v>41254426</v>
      </c>
    </row>
    <row r="1043" spans="1:16" ht="25.5">
      <c r="A1043" s="6"/>
      <c r="B1043" s="6"/>
      <c r="C1043" s="64"/>
      <c r="D1043" s="46" t="s">
        <v>133</v>
      </c>
      <c r="E1043" s="42">
        <v>14752541</v>
      </c>
      <c r="F1043" s="14">
        <v>0</v>
      </c>
      <c r="G1043" s="14">
        <v>14752541</v>
      </c>
      <c r="H1043" s="11">
        <v>0</v>
      </c>
      <c r="I1043" s="11">
        <v>0</v>
      </c>
      <c r="J1043" s="10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0">
        <f t="shared" si="159"/>
        <v>14752541</v>
      </c>
    </row>
    <row r="1044" spans="1:16" ht="25.5">
      <c r="A1044" s="6" t="s">
        <v>286</v>
      </c>
      <c r="B1044" s="6">
        <v>1150</v>
      </c>
      <c r="C1044" s="64" t="s">
        <v>31</v>
      </c>
      <c r="D1044" s="45" t="s">
        <v>287</v>
      </c>
      <c r="E1044" s="41">
        <v>285700</v>
      </c>
      <c r="F1044" s="11">
        <v>285700</v>
      </c>
      <c r="G1044" s="11">
        <v>230060</v>
      </c>
      <c r="H1044" s="11">
        <v>0</v>
      </c>
      <c r="I1044" s="11">
        <v>0</v>
      </c>
      <c r="J1044" s="10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0">
        <f t="shared" si="159"/>
        <v>285700</v>
      </c>
    </row>
    <row r="1045" spans="1:16" ht="25.5">
      <c r="A1045" s="12" t="s">
        <v>271</v>
      </c>
      <c r="B1045" s="20">
        <v>1161</v>
      </c>
      <c r="C1045" s="68" t="s">
        <v>31</v>
      </c>
      <c r="D1045" s="21" t="s">
        <v>273</v>
      </c>
      <c r="E1045" s="22">
        <v>1721800</v>
      </c>
      <c r="F1045" s="21">
        <v>1721800</v>
      </c>
      <c r="G1045" s="21">
        <v>1249500</v>
      </c>
      <c r="H1045" s="11">
        <v>0</v>
      </c>
      <c r="I1045" s="11">
        <v>0</v>
      </c>
      <c r="J1045" s="10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0">
        <f t="shared" si="159"/>
        <v>1721800</v>
      </c>
    </row>
    <row r="1046" spans="1:16">
      <c r="A1046" s="12" t="s">
        <v>272</v>
      </c>
      <c r="B1046" s="12" t="s">
        <v>208</v>
      </c>
      <c r="C1046" s="13" t="s">
        <v>31</v>
      </c>
      <c r="D1046" s="65" t="s">
        <v>136</v>
      </c>
      <c r="E1046" s="22">
        <v>592620</v>
      </c>
      <c r="F1046" s="21">
        <v>592620</v>
      </c>
      <c r="G1046" s="11">
        <v>0</v>
      </c>
      <c r="H1046" s="11">
        <v>0</v>
      </c>
      <c r="I1046" s="11">
        <v>0</v>
      </c>
      <c r="J1046" s="10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0">
        <f t="shared" si="159"/>
        <v>592620</v>
      </c>
    </row>
    <row r="1047" spans="1:16" ht="63.75">
      <c r="A1047" s="12" t="s">
        <v>314</v>
      </c>
      <c r="B1047" s="12">
        <v>3140</v>
      </c>
      <c r="C1047" s="84">
        <v>1040</v>
      </c>
      <c r="D1047" s="65" t="s">
        <v>315</v>
      </c>
      <c r="E1047" s="22">
        <v>100000</v>
      </c>
      <c r="F1047" s="21">
        <v>100000</v>
      </c>
      <c r="G1047" s="11">
        <v>0</v>
      </c>
      <c r="H1047" s="11">
        <v>0</v>
      </c>
      <c r="I1047" s="11">
        <v>0</v>
      </c>
      <c r="J1047" s="10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0">
        <f t="shared" si="159"/>
        <v>100000</v>
      </c>
    </row>
    <row r="1048" spans="1:16">
      <c r="A1048" s="80"/>
      <c r="B1048" s="81" t="s">
        <v>93</v>
      </c>
      <c r="C1048" s="82"/>
      <c r="D1048" s="83" t="s">
        <v>293</v>
      </c>
      <c r="E1048" s="83">
        <f t="shared" ref="E1048:O1048" si="162">E979+E1039</f>
        <v>101371821</v>
      </c>
      <c r="F1048" s="83">
        <f t="shared" si="162"/>
        <v>101301821</v>
      </c>
      <c r="G1048" s="83">
        <f t="shared" si="162"/>
        <v>51605503</v>
      </c>
      <c r="H1048" s="83">
        <f t="shared" si="162"/>
        <v>7157749</v>
      </c>
      <c r="I1048" s="83">
        <f t="shared" si="162"/>
        <v>70000</v>
      </c>
      <c r="J1048" s="83">
        <f t="shared" si="162"/>
        <v>19725339</v>
      </c>
      <c r="K1048" s="83">
        <f t="shared" si="162"/>
        <v>16187171</v>
      </c>
      <c r="L1048" s="83">
        <f t="shared" si="162"/>
        <v>1938168</v>
      </c>
      <c r="M1048" s="83">
        <f t="shared" si="162"/>
        <v>0</v>
      </c>
      <c r="N1048" s="83">
        <f t="shared" si="162"/>
        <v>0</v>
      </c>
      <c r="O1048" s="83">
        <f t="shared" si="162"/>
        <v>17787171</v>
      </c>
      <c r="P1048" s="83">
        <f t="shared" si="159"/>
        <v>121097160</v>
      </c>
    </row>
    <row r="1051" spans="1:16">
      <c r="B1051" s="87" t="s">
        <v>313</v>
      </c>
      <c r="C1051" s="88"/>
      <c r="D1051" s="88"/>
      <c r="E1051" s="88"/>
      <c r="F1051" s="88"/>
      <c r="G1051" s="88"/>
      <c r="H1051" s="88"/>
      <c r="I1051" s="87" t="s">
        <v>178</v>
      </c>
    </row>
    <row r="1052" spans="1:16">
      <c r="B1052" s="88"/>
      <c r="C1052" s="88"/>
      <c r="D1052" s="88"/>
      <c r="E1052" s="88"/>
      <c r="F1052" s="88"/>
      <c r="G1052" s="88"/>
      <c r="H1052" s="88"/>
      <c r="I1052" s="88"/>
    </row>
  </sheetData>
  <mergeCells count="342">
    <mergeCell ref="A973:B973"/>
    <mergeCell ref="N893:N894"/>
    <mergeCell ref="L892:L894"/>
    <mergeCell ref="O892:O894"/>
    <mergeCell ref="M884:P887"/>
    <mergeCell ref="A888:P888"/>
    <mergeCell ref="A889:P889"/>
    <mergeCell ref="A891:A894"/>
    <mergeCell ref="B891:B894"/>
    <mergeCell ref="C891:C894"/>
    <mergeCell ref="D891:D894"/>
    <mergeCell ref="E891:I891"/>
    <mergeCell ref="J891:O891"/>
    <mergeCell ref="P891:P894"/>
    <mergeCell ref="E892:E894"/>
    <mergeCell ref="F892:F894"/>
    <mergeCell ref="G892:H892"/>
    <mergeCell ref="I892:I894"/>
    <mergeCell ref="J892:J894"/>
    <mergeCell ref="K892:K894"/>
    <mergeCell ref="G893:G894"/>
    <mergeCell ref="H893:H894"/>
    <mergeCell ref="M893:M894"/>
    <mergeCell ref="M892:N892"/>
    <mergeCell ref="M579:P582"/>
    <mergeCell ref="A583:P583"/>
    <mergeCell ref="A584:P584"/>
    <mergeCell ref="A586:A589"/>
    <mergeCell ref="B586:B589"/>
    <mergeCell ref="C586:C589"/>
    <mergeCell ref="D586:D589"/>
    <mergeCell ref="E586:I586"/>
    <mergeCell ref="J586:O586"/>
    <mergeCell ref="P586:P589"/>
    <mergeCell ref="E587:E589"/>
    <mergeCell ref="F587:F589"/>
    <mergeCell ref="G587:H587"/>
    <mergeCell ref="I587:I589"/>
    <mergeCell ref="J587:J589"/>
    <mergeCell ref="K587:K589"/>
    <mergeCell ref="L587:M587"/>
    <mergeCell ref="N587:N589"/>
    <mergeCell ref="G588:G589"/>
    <mergeCell ref="H588:H589"/>
    <mergeCell ref="L588:L589"/>
    <mergeCell ref="M588:M589"/>
    <mergeCell ref="O588:O589"/>
    <mergeCell ref="M515:P518"/>
    <mergeCell ref="A519:P519"/>
    <mergeCell ref="A520:P520"/>
    <mergeCell ref="A522:A525"/>
    <mergeCell ref="B522:B525"/>
    <mergeCell ref="C522:C525"/>
    <mergeCell ref="D522:D525"/>
    <mergeCell ref="E522:I522"/>
    <mergeCell ref="J522:O522"/>
    <mergeCell ref="P522:P525"/>
    <mergeCell ref="E523:E525"/>
    <mergeCell ref="F523:F525"/>
    <mergeCell ref="G523:H523"/>
    <mergeCell ref="I523:I525"/>
    <mergeCell ref="J523:J525"/>
    <mergeCell ref="K523:K525"/>
    <mergeCell ref="L523:M523"/>
    <mergeCell ref="N523:N525"/>
    <mergeCell ref="G524:G525"/>
    <mergeCell ref="H524:H525"/>
    <mergeCell ref="L524:L525"/>
    <mergeCell ref="M524:M525"/>
    <mergeCell ref="O524:O525"/>
    <mergeCell ref="M441:P441"/>
    <mergeCell ref="M443:P443"/>
    <mergeCell ref="A445:P445"/>
    <mergeCell ref="A446:P446"/>
    <mergeCell ref="A448:A451"/>
    <mergeCell ref="B448:B451"/>
    <mergeCell ref="C448:C451"/>
    <mergeCell ref="D448:D451"/>
    <mergeCell ref="E448:I448"/>
    <mergeCell ref="J448:O448"/>
    <mergeCell ref="P448:P451"/>
    <mergeCell ref="E449:E451"/>
    <mergeCell ref="F449:F451"/>
    <mergeCell ref="G449:H449"/>
    <mergeCell ref="I449:I451"/>
    <mergeCell ref="J449:J451"/>
    <mergeCell ref="K449:K451"/>
    <mergeCell ref="L449:M449"/>
    <mergeCell ref="N449:N451"/>
    <mergeCell ref="G450:G451"/>
    <mergeCell ref="H450:H451"/>
    <mergeCell ref="L450:L451"/>
    <mergeCell ref="M450:M451"/>
    <mergeCell ref="O450:O451"/>
    <mergeCell ref="M369:P369"/>
    <mergeCell ref="A183:P183"/>
    <mergeCell ref="A184:P184"/>
    <mergeCell ref="A186:A189"/>
    <mergeCell ref="B186:B189"/>
    <mergeCell ref="C186:C189"/>
    <mergeCell ref="D186:D189"/>
    <mergeCell ref="E186:I186"/>
    <mergeCell ref="J186:O186"/>
    <mergeCell ref="P186:P189"/>
    <mergeCell ref="E187:E189"/>
    <mergeCell ref="F187:F189"/>
    <mergeCell ref="G187:H187"/>
    <mergeCell ref="I187:I189"/>
    <mergeCell ref="J187:J189"/>
    <mergeCell ref="K187:K189"/>
    <mergeCell ref="L187:M187"/>
    <mergeCell ref="O188:O189"/>
    <mergeCell ref="N187:N189"/>
    <mergeCell ref="G188:G189"/>
    <mergeCell ref="H188:H189"/>
    <mergeCell ref="L188:L189"/>
    <mergeCell ref="M188:M189"/>
    <mergeCell ref="O249:O250"/>
    <mergeCell ref="A57:P57"/>
    <mergeCell ref="A58:P58"/>
    <mergeCell ref="A60:A63"/>
    <mergeCell ref="B60:B63"/>
    <mergeCell ref="C60:C63"/>
    <mergeCell ref="D60:D63"/>
    <mergeCell ref="E60:I60"/>
    <mergeCell ref="J60:O60"/>
    <mergeCell ref="P60:P63"/>
    <mergeCell ref="E61:E63"/>
    <mergeCell ref="F61:F63"/>
    <mergeCell ref="G61:H61"/>
    <mergeCell ref="I61:I63"/>
    <mergeCell ref="J61:J63"/>
    <mergeCell ref="K61:K63"/>
    <mergeCell ref="L61:M61"/>
    <mergeCell ref="O62:O63"/>
    <mergeCell ref="N61:N63"/>
    <mergeCell ref="G62:G63"/>
    <mergeCell ref="H62:H63"/>
    <mergeCell ref="L62:L63"/>
    <mergeCell ref="M62:M63"/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O128:O129"/>
    <mergeCell ref="N127:N129"/>
    <mergeCell ref="G128:G129"/>
    <mergeCell ref="H128:H129"/>
    <mergeCell ref="L128:L129"/>
    <mergeCell ref="M128:M129"/>
    <mergeCell ref="A123:P123"/>
    <mergeCell ref="A124:P124"/>
    <mergeCell ref="A126:A129"/>
    <mergeCell ref="B126:B129"/>
    <mergeCell ref="C126:C129"/>
    <mergeCell ref="D126:D129"/>
    <mergeCell ref="E126:I126"/>
    <mergeCell ref="J126:O126"/>
    <mergeCell ref="P126:P129"/>
    <mergeCell ref="E127:E129"/>
    <mergeCell ref="F127:F129"/>
    <mergeCell ref="G127:H127"/>
    <mergeCell ref="I127:I129"/>
    <mergeCell ref="J127:J129"/>
    <mergeCell ref="K127:K129"/>
    <mergeCell ref="L127:M127"/>
    <mergeCell ref="N248:N250"/>
    <mergeCell ref="G249:G250"/>
    <mergeCell ref="H249:H250"/>
    <mergeCell ref="L249:L250"/>
    <mergeCell ref="M249:M250"/>
    <mergeCell ref="A244:P244"/>
    <mergeCell ref="A245:P245"/>
    <mergeCell ref="A247:A250"/>
    <mergeCell ref="B247:B250"/>
    <mergeCell ref="C247:C250"/>
    <mergeCell ref="D247:D250"/>
    <mergeCell ref="E247:I247"/>
    <mergeCell ref="J247:O247"/>
    <mergeCell ref="P247:P250"/>
    <mergeCell ref="E248:E250"/>
    <mergeCell ref="F248:F250"/>
    <mergeCell ref="G248:H248"/>
    <mergeCell ref="I248:I250"/>
    <mergeCell ref="J248:J250"/>
    <mergeCell ref="K248:K250"/>
    <mergeCell ref="L248:M248"/>
    <mergeCell ref="A307:P307"/>
    <mergeCell ref="A308:P308"/>
    <mergeCell ref="A310:A313"/>
    <mergeCell ref="B310:B313"/>
    <mergeCell ref="C310:C313"/>
    <mergeCell ref="D310:D313"/>
    <mergeCell ref="E310:I310"/>
    <mergeCell ref="J310:O310"/>
    <mergeCell ref="P310:P313"/>
    <mergeCell ref="E311:E313"/>
    <mergeCell ref="F311:F313"/>
    <mergeCell ref="G311:H311"/>
    <mergeCell ref="I311:I313"/>
    <mergeCell ref="J311:J313"/>
    <mergeCell ref="K311:K313"/>
    <mergeCell ref="L311:M311"/>
    <mergeCell ref="N311:N313"/>
    <mergeCell ref="G312:G313"/>
    <mergeCell ref="H312:H313"/>
    <mergeCell ref="L312:L313"/>
    <mergeCell ref="M312:M313"/>
    <mergeCell ref="O312:O313"/>
    <mergeCell ref="A371:P371"/>
    <mergeCell ref="A372:P372"/>
    <mergeCell ref="A374:A377"/>
    <mergeCell ref="B374:B377"/>
    <mergeCell ref="C374:C377"/>
    <mergeCell ref="D374:D377"/>
    <mergeCell ref="E374:I374"/>
    <mergeCell ref="J374:O374"/>
    <mergeCell ref="P374:P377"/>
    <mergeCell ref="E375:E377"/>
    <mergeCell ref="F375:F377"/>
    <mergeCell ref="G375:H375"/>
    <mergeCell ref="I375:I377"/>
    <mergeCell ref="J375:J377"/>
    <mergeCell ref="K375:K377"/>
    <mergeCell ref="L375:M375"/>
    <mergeCell ref="N375:N377"/>
    <mergeCell ref="G376:G377"/>
    <mergeCell ref="H376:H377"/>
    <mergeCell ref="L376:L377"/>
    <mergeCell ref="M376:M377"/>
    <mergeCell ref="O376:O377"/>
    <mergeCell ref="M651:P654"/>
    <mergeCell ref="A655:P655"/>
    <mergeCell ref="A656:P656"/>
    <mergeCell ref="A658:A661"/>
    <mergeCell ref="B658:B661"/>
    <mergeCell ref="C658:C661"/>
    <mergeCell ref="D658:D661"/>
    <mergeCell ref="E658:I658"/>
    <mergeCell ref="J658:O658"/>
    <mergeCell ref="P658:P661"/>
    <mergeCell ref="E659:E661"/>
    <mergeCell ref="F659:F661"/>
    <mergeCell ref="G659:H659"/>
    <mergeCell ref="I659:I661"/>
    <mergeCell ref="J659:J661"/>
    <mergeCell ref="K659:K661"/>
    <mergeCell ref="L659:M659"/>
    <mergeCell ref="N659:N661"/>
    <mergeCell ref="G660:G661"/>
    <mergeCell ref="H660:H661"/>
    <mergeCell ref="L660:L661"/>
    <mergeCell ref="M660:M661"/>
    <mergeCell ref="O660:O661"/>
    <mergeCell ref="M725:P728"/>
    <mergeCell ref="A729:P729"/>
    <mergeCell ref="A730:P730"/>
    <mergeCell ref="A732:A735"/>
    <mergeCell ref="B732:B735"/>
    <mergeCell ref="C732:C735"/>
    <mergeCell ref="D732:D735"/>
    <mergeCell ref="E732:I732"/>
    <mergeCell ref="J732:O732"/>
    <mergeCell ref="P732:P735"/>
    <mergeCell ref="E733:E735"/>
    <mergeCell ref="F733:F735"/>
    <mergeCell ref="G733:H733"/>
    <mergeCell ref="I733:I735"/>
    <mergeCell ref="J733:J735"/>
    <mergeCell ref="K733:K735"/>
    <mergeCell ref="L733:M733"/>
    <mergeCell ref="N733:N735"/>
    <mergeCell ref="G734:G735"/>
    <mergeCell ref="H734:H735"/>
    <mergeCell ref="L734:L735"/>
    <mergeCell ref="M734:M735"/>
    <mergeCell ref="O734:O735"/>
    <mergeCell ref="M805:P808"/>
    <mergeCell ref="A809:P809"/>
    <mergeCell ref="A810:P810"/>
    <mergeCell ref="A812:A815"/>
    <mergeCell ref="B812:B815"/>
    <mergeCell ref="C812:C815"/>
    <mergeCell ref="D812:D815"/>
    <mergeCell ref="E812:I812"/>
    <mergeCell ref="J812:O812"/>
    <mergeCell ref="P812:P815"/>
    <mergeCell ref="E813:E815"/>
    <mergeCell ref="F813:F815"/>
    <mergeCell ref="G813:H813"/>
    <mergeCell ref="I813:I815"/>
    <mergeCell ref="J813:J815"/>
    <mergeCell ref="K813:K815"/>
    <mergeCell ref="L813:M813"/>
    <mergeCell ref="N813:N815"/>
    <mergeCell ref="G814:G815"/>
    <mergeCell ref="H814:H815"/>
    <mergeCell ref="L814:L815"/>
    <mergeCell ref="M814:M815"/>
    <mergeCell ref="O814:O815"/>
    <mergeCell ref="M966:P969"/>
    <mergeCell ref="A970:P970"/>
    <mergeCell ref="A971:P971"/>
    <mergeCell ref="A974:A977"/>
    <mergeCell ref="B974:B977"/>
    <mergeCell ref="C974:C977"/>
    <mergeCell ref="D974:D977"/>
    <mergeCell ref="E974:I974"/>
    <mergeCell ref="J974:O974"/>
    <mergeCell ref="P974:P977"/>
    <mergeCell ref="E975:E977"/>
    <mergeCell ref="F975:F977"/>
    <mergeCell ref="G975:H975"/>
    <mergeCell ref="I975:I977"/>
    <mergeCell ref="J975:J977"/>
    <mergeCell ref="K975:K977"/>
    <mergeCell ref="L975:L977"/>
    <mergeCell ref="M975:N975"/>
    <mergeCell ref="O975:O977"/>
    <mergeCell ref="G976:G977"/>
    <mergeCell ref="H976:H977"/>
    <mergeCell ref="M976:M977"/>
    <mergeCell ref="N976:N977"/>
    <mergeCell ref="A972:B972"/>
  </mergeCells>
  <pageMargins left="0.19685039370078741" right="0.19685039370078741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admin</cp:lastModifiedBy>
  <cp:lastPrinted>2020-02-07T08:23:45Z</cp:lastPrinted>
  <dcterms:created xsi:type="dcterms:W3CDTF">2016-12-23T08:20:04Z</dcterms:created>
  <dcterms:modified xsi:type="dcterms:W3CDTF">2020-02-10T08:06:46Z</dcterms:modified>
</cp:coreProperties>
</file>